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rojeler\Başvuru Dokümanları\Kalıp-İskele\"/>
    </mc:Choice>
  </mc:AlternateContent>
  <xr:revisionPtr revIDLastSave="0" documentId="8_{7577A088-D1DC-475D-80CC-67036ED6F353}" xr6:coauthVersionLast="41" xr6:coauthVersionMax="41" xr10:uidLastSave="{00000000-0000-0000-0000-000000000000}"/>
  <bookViews>
    <workbookView xWindow="-120" yWindow="-120" windowWidth="29040" windowHeight="15840" xr2:uid="{82A0C090-14C1-43D8-AE02-9F092DE7DDAA}"/>
  </bookViews>
  <sheets>
    <sheet name="Sayfa1" sheetId="1" r:id="rId1"/>
    <sheet name="Teleskobik Dikmeler" sheetId="2" r:id="rId2"/>
    <sheet name="Sayfa3" sheetId="3" r:id="rId3"/>
  </sheets>
  <definedNames>
    <definedName name="_xlnm._FilterDatabase" localSheetId="0" hidden="1">Sayfa1!$B$4:$I$10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66" i="1" l="1"/>
  <c r="F164" i="1"/>
  <c r="F162" i="1"/>
  <c r="G346" i="1"/>
  <c r="AJ341" i="1"/>
  <c r="AJ435" i="1"/>
  <c r="F402" i="1"/>
  <c r="F400" i="1"/>
  <c r="F398" i="1"/>
  <c r="F396" i="1"/>
  <c r="F389" i="1"/>
  <c r="G440" i="1"/>
  <c r="E424" i="1"/>
  <c r="AT416" i="1"/>
  <c r="AM420" i="1"/>
  <c r="C427" i="1"/>
  <c r="F432" i="1" s="1"/>
  <c r="C426" i="1"/>
  <c r="AH435" i="1" s="1"/>
  <c r="G439" i="1" s="1"/>
  <c r="AN417" i="1"/>
  <c r="AQ417" i="1" s="1"/>
  <c r="AH417" i="1"/>
  <c r="AN416" i="1"/>
  <c r="AQ416" i="1" s="1"/>
  <c r="AH416" i="1"/>
  <c r="AN415" i="1"/>
  <c r="AQ415" i="1" s="1"/>
  <c r="AH415" i="1"/>
  <c r="AN323" i="1"/>
  <c r="AQ323" i="1" s="1"/>
  <c r="AH323" i="1"/>
  <c r="AK323" i="1" s="1"/>
  <c r="AN322" i="1"/>
  <c r="AQ322" i="1" s="1"/>
  <c r="AH322" i="1"/>
  <c r="AK322" i="1" s="1"/>
  <c r="AN321" i="1"/>
  <c r="AQ321" i="1" s="1"/>
  <c r="AH321" i="1"/>
  <c r="AK321" i="1" s="1"/>
  <c r="G342" i="1"/>
  <c r="G343" i="1" s="1"/>
  <c r="E330" i="1"/>
  <c r="C333" i="1"/>
  <c r="F338" i="1" s="1"/>
  <c r="V366" i="1"/>
  <c r="V365" i="1"/>
  <c r="N366" i="1"/>
  <c r="N365" i="1"/>
  <c r="N360" i="1"/>
  <c r="F362" i="1"/>
  <c r="F361" i="1"/>
  <c r="F360" i="1"/>
  <c r="F270" i="1"/>
  <c r="F269" i="1"/>
  <c r="V362" i="1"/>
  <c r="N362" i="1"/>
  <c r="V361" i="1"/>
  <c r="N361" i="1"/>
  <c r="V360" i="1"/>
  <c r="V239" i="1"/>
  <c r="N266" i="1" s="1"/>
  <c r="F274" i="1"/>
  <c r="V274" i="1"/>
  <c r="V273" i="1"/>
  <c r="V270" i="1"/>
  <c r="V269" i="1"/>
  <c r="V268" i="1"/>
  <c r="N268" i="1"/>
  <c r="N274" i="1"/>
  <c r="N273" i="1"/>
  <c r="N271" i="1"/>
  <c r="N270" i="1"/>
  <c r="N269" i="1"/>
  <c r="F268" i="1"/>
  <c r="E41" i="1"/>
  <c r="E40" i="1"/>
  <c r="V240" i="1"/>
  <c r="E266" i="1" s="1"/>
  <c r="AM244" i="1"/>
  <c r="AU244" i="1"/>
  <c r="AH244" i="1"/>
  <c r="AP243" i="1"/>
  <c r="AS243" i="1" s="1"/>
  <c r="AJ243" i="1"/>
  <c r="AM243" i="1" s="1"/>
  <c r="AP242" i="1"/>
  <c r="AS242" i="1" s="1"/>
  <c r="AJ242" i="1"/>
  <c r="AM242" i="1" s="1"/>
  <c r="V364" i="1" s="1"/>
  <c r="AP241" i="1"/>
  <c r="AS241" i="1" s="1"/>
  <c r="AJ241" i="1"/>
  <c r="AM241" i="1" s="1"/>
  <c r="N364" i="1" s="1"/>
  <c r="AP240" i="1"/>
  <c r="AS240" i="1" s="1"/>
  <c r="AJ240" i="1"/>
  <c r="AM240" i="1" s="1"/>
  <c r="AR236" i="1"/>
  <c r="AP236" i="1"/>
  <c r="AT236" i="1" s="1"/>
  <c r="AN236" i="1"/>
  <c r="AL236" i="1"/>
  <c r="AJ236" i="1"/>
  <c r="AR235" i="1"/>
  <c r="AP235" i="1"/>
  <c r="AT235" i="1" s="1"/>
  <c r="AR234" i="1"/>
  <c r="AP234" i="1"/>
  <c r="AT234" i="1" s="1"/>
  <c r="AR233" i="1"/>
  <c r="AP233" i="1"/>
  <c r="AT233" i="1" s="1"/>
  <c r="AR232" i="1"/>
  <c r="F365" i="1" s="1"/>
  <c r="AP232" i="1"/>
  <c r="F271" i="1" s="1"/>
  <c r="S112" i="1"/>
  <c r="S109" i="1"/>
  <c r="S108" i="1"/>
  <c r="S107" i="1"/>
  <c r="S113" i="1"/>
  <c r="E203" i="1"/>
  <c r="S96" i="1"/>
  <c r="I216" i="1" s="1"/>
  <c r="G93" i="1"/>
  <c r="AR7" i="1"/>
  <c r="AP7" i="1"/>
  <c r="AN7" i="1"/>
  <c r="G109" i="1" s="1"/>
  <c r="AL7" i="1"/>
  <c r="G108" i="1" s="1"/>
  <c r="AJ7" i="1"/>
  <c r="G107" i="1" s="1"/>
  <c r="G106" i="1"/>
  <c r="G105" i="1"/>
  <c r="F31" i="1"/>
  <c r="F30" i="1"/>
  <c r="G99" i="1"/>
  <c r="G98" i="1"/>
  <c r="G102" i="1"/>
  <c r="G101" i="1"/>
  <c r="G100" i="1"/>
  <c r="G95" i="1"/>
  <c r="G94" i="1"/>
  <c r="U102" i="1"/>
  <c r="L217" i="1" s="1"/>
  <c r="U9" i="1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F24" i="1"/>
  <c r="F23" i="1"/>
  <c r="F16" i="1"/>
  <c r="F11" i="1"/>
  <c r="R27" i="1"/>
  <c r="R29" i="1" s="1"/>
  <c r="R32" i="1" s="1"/>
  <c r="AR6" i="1"/>
  <c r="AR5" i="1"/>
  <c r="AR4" i="1"/>
  <c r="AR3" i="1"/>
  <c r="G112" i="1" s="1"/>
  <c r="F27" i="1"/>
  <c r="F26" i="1"/>
  <c r="F25" i="1"/>
  <c r="F20" i="1"/>
  <c r="F18" i="1"/>
  <c r="F19" i="1"/>
  <c r="F13" i="1"/>
  <c r="F12" i="1"/>
  <c r="AP13" i="1"/>
  <c r="AS13" i="1" s="1"/>
  <c r="AP12" i="1"/>
  <c r="AS12" i="1" s="1"/>
  <c r="AP11" i="1"/>
  <c r="AS11" i="1" s="1"/>
  <c r="AP10" i="1"/>
  <c r="AS10" i="1" s="1"/>
  <c r="AJ13" i="1"/>
  <c r="AM13" i="1" s="1"/>
  <c r="G104" i="1" s="1"/>
  <c r="AJ12" i="1"/>
  <c r="AM12" i="1" s="1"/>
  <c r="F29" i="1" s="1"/>
  <c r="AJ11" i="1"/>
  <c r="AM11" i="1" s="1"/>
  <c r="F22" i="1" s="1"/>
  <c r="AJ10" i="1"/>
  <c r="AM10" i="1" s="1"/>
  <c r="AP6" i="1"/>
  <c r="AT6" i="1" s="1"/>
  <c r="AP5" i="1"/>
  <c r="AT5" i="1" s="1"/>
  <c r="AP4" i="1"/>
  <c r="AT4" i="1" s="1"/>
  <c r="AP3" i="1"/>
  <c r="F14" i="1" s="1"/>
  <c r="F191" i="1" l="1"/>
  <c r="F79" i="1"/>
  <c r="F222" i="1"/>
  <c r="G216" i="1"/>
  <c r="F177" i="1"/>
  <c r="F226" i="1"/>
  <c r="AT417" i="1"/>
  <c r="AT415" i="1"/>
  <c r="F431" i="1"/>
  <c r="F298" i="1"/>
  <c r="F296" i="1"/>
  <c r="F379" i="1"/>
  <c r="F385" i="1"/>
  <c r="G436" i="1"/>
  <c r="G437" i="1" s="1"/>
  <c r="AK415" i="1"/>
  <c r="AK416" i="1"/>
  <c r="AK417" i="1"/>
  <c r="F156" i="1"/>
  <c r="F273" i="1"/>
  <c r="F287" i="1" s="1"/>
  <c r="N272" i="1"/>
  <c r="F294" i="1" s="1"/>
  <c r="F363" i="1"/>
  <c r="F377" i="1" s="1"/>
  <c r="N363" i="1"/>
  <c r="F387" i="1" s="1"/>
  <c r="S110" i="1"/>
  <c r="F175" i="1" s="1"/>
  <c r="V271" i="1"/>
  <c r="V272" i="1"/>
  <c r="V363" i="1"/>
  <c r="V210" i="1"/>
  <c r="AT232" i="1"/>
  <c r="F228" i="1"/>
  <c r="G110" i="1"/>
  <c r="F154" i="1" s="1"/>
  <c r="F285" i="1"/>
  <c r="F77" i="1"/>
  <c r="F73" i="1"/>
  <c r="AT7" i="1"/>
  <c r="G111" i="1" s="1"/>
  <c r="F152" i="1" s="1"/>
  <c r="G217" i="1"/>
  <c r="I217" i="1"/>
  <c r="M208" i="1"/>
  <c r="M210" i="1"/>
  <c r="V204" i="1"/>
  <c r="V208" i="1"/>
  <c r="M204" i="1"/>
  <c r="F28" i="1"/>
  <c r="F75" i="1" s="1"/>
  <c r="G103" i="1"/>
  <c r="M206" i="1" s="1"/>
  <c r="G96" i="1"/>
  <c r="F189" i="1" s="1"/>
  <c r="G97" i="1"/>
  <c r="F187" i="1" s="1"/>
  <c r="F53" i="1"/>
  <c r="F55" i="1"/>
  <c r="F66" i="1"/>
  <c r="F62" i="1"/>
  <c r="AT3" i="1"/>
  <c r="F21" i="1"/>
  <c r="F64" i="1" s="1"/>
  <c r="K296" i="1" l="1"/>
  <c r="F272" i="1"/>
  <c r="F283" i="1" s="1"/>
  <c r="F364" i="1"/>
  <c r="F375" i="1" s="1"/>
  <c r="L212" i="1"/>
  <c r="F15" i="1"/>
  <c r="F51" i="1" s="1"/>
  <c r="S111" i="1"/>
  <c r="F173" i="1" s="1"/>
  <c r="F224" i="1"/>
  <c r="V206" i="1"/>
  <c r="U212" i="1" l="1"/>
  <c r="L216" i="1" s="1"/>
  <c r="AM326" i="1"/>
  <c r="C332" i="1"/>
  <c r="F312" i="1"/>
  <c r="F310" i="1"/>
  <c r="F308" i="1"/>
  <c r="F306" i="1"/>
  <c r="F337" i="1" l="1"/>
  <c r="AT323" i="1"/>
  <c r="AT322" i="1"/>
  <c r="AT321" i="1"/>
  <c r="AH341" i="1"/>
  <c r="G34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MarangozUsta</author>
  </authors>
  <commentList>
    <comment ref="C265" authorId="0" shapeId="0" xr:uid="{9C6368DD-5304-4DAB-9632-BF0A128094D5}">
      <text>
        <r>
          <rPr>
            <b/>
            <sz val="9"/>
            <color indexed="81"/>
            <rFont val="Tahoma"/>
            <family val="2"/>
            <charset val="162"/>
          </rPr>
          <t>MarangozUsta:</t>
        </r>
        <r>
          <rPr>
            <sz val="9"/>
            <color indexed="81"/>
            <rFont val="Tahoma"/>
            <family val="2"/>
            <charset val="162"/>
          </rPr>
          <t xml:space="preserve">
Serbest Boy</t>
        </r>
      </text>
    </comment>
    <comment ref="B329" authorId="0" shapeId="0" xr:uid="{5D0EF009-AA02-4127-8A1A-84046A9C2418}">
      <text>
        <r>
          <rPr>
            <b/>
            <sz val="9"/>
            <color indexed="81"/>
            <rFont val="Tahoma"/>
            <family val="2"/>
            <charset val="162"/>
          </rPr>
          <t>MarangozUsta:</t>
        </r>
        <r>
          <rPr>
            <sz val="9"/>
            <color indexed="81"/>
            <rFont val="Tahoma"/>
            <family val="2"/>
            <charset val="162"/>
          </rPr>
          <t xml:space="preserve">
0.00 kotundan itibaren olan yükseklik</t>
        </r>
      </text>
    </comment>
    <comment ref="B423" authorId="0" shapeId="0" xr:uid="{0DAE114D-183D-46BB-A062-964988620672}">
      <text>
        <r>
          <rPr>
            <b/>
            <sz val="9"/>
            <color indexed="81"/>
            <rFont val="Tahoma"/>
            <family val="2"/>
            <charset val="162"/>
          </rPr>
          <t>MarangozUsta:</t>
        </r>
        <r>
          <rPr>
            <sz val="9"/>
            <color indexed="81"/>
            <rFont val="Tahoma"/>
            <family val="2"/>
            <charset val="162"/>
          </rPr>
          <t xml:space="preserve">
0.00 kotundan itibaren olan yükseklik</t>
        </r>
      </text>
    </comment>
  </commentList>
</comments>
</file>

<file path=xl/sharedStrings.xml><?xml version="1.0" encoding="utf-8"?>
<sst xmlns="http://schemas.openxmlformats.org/spreadsheetml/2006/main" count="1053" uniqueCount="740">
  <si>
    <t>KALIP VE KALIP İSKELESİ HESABI</t>
  </si>
  <si>
    <t>Beton Sınıfı:</t>
  </si>
  <si>
    <t>Beton Özgül Ağırlığı:</t>
  </si>
  <si>
    <t>Malzeme Bilgisi</t>
  </si>
  <si>
    <t>Kalıp Malzemesi:</t>
  </si>
  <si>
    <r>
      <t>E</t>
    </r>
    <r>
      <rPr>
        <sz val="8"/>
        <color theme="1"/>
        <rFont val="Bahnschrift Light"/>
        <family val="2"/>
        <charset val="162"/>
      </rPr>
      <t>l</t>
    </r>
  </si>
  <si>
    <r>
      <t>f</t>
    </r>
    <r>
      <rPr>
        <sz val="8"/>
        <color theme="1"/>
        <rFont val="Bahnschrift Light"/>
        <family val="2"/>
        <charset val="162"/>
      </rPr>
      <t>el</t>
    </r>
  </si>
  <si>
    <r>
      <t>f</t>
    </r>
    <r>
      <rPr>
        <sz val="8"/>
        <color theme="1"/>
        <rFont val="Bahnschrift Light"/>
        <family val="2"/>
        <charset val="162"/>
      </rPr>
      <t>kl</t>
    </r>
  </si>
  <si>
    <r>
      <t>I</t>
    </r>
    <r>
      <rPr>
        <sz val="8"/>
        <color theme="1"/>
        <rFont val="Bahnschrift Light"/>
        <family val="2"/>
        <charset val="162"/>
      </rPr>
      <t>l</t>
    </r>
  </si>
  <si>
    <t>2. Destek kirişleri:</t>
  </si>
  <si>
    <t>1. Destek Kirişleri:</t>
  </si>
  <si>
    <t>C30</t>
  </si>
  <si>
    <t>1. Destek Kirişi</t>
  </si>
  <si>
    <t>2. Destek Kirişi</t>
  </si>
  <si>
    <r>
      <t>E</t>
    </r>
    <r>
      <rPr>
        <sz val="8"/>
        <color theme="1"/>
        <rFont val="Bahnschrift Light"/>
        <family val="2"/>
        <charset val="162"/>
      </rPr>
      <t>l</t>
    </r>
    <r>
      <rPr>
        <sz val="11"/>
        <color theme="1"/>
        <rFont val="Bahnschrift Light"/>
        <family val="2"/>
        <charset val="162"/>
      </rPr>
      <t>:</t>
    </r>
  </si>
  <si>
    <r>
      <t>f</t>
    </r>
    <r>
      <rPr>
        <sz val="8"/>
        <color theme="1"/>
        <rFont val="Bahnschrift Light"/>
        <family val="2"/>
        <charset val="162"/>
      </rPr>
      <t>el</t>
    </r>
    <r>
      <rPr>
        <sz val="11"/>
        <color theme="1"/>
        <rFont val="Bahnschrift Light"/>
        <family val="2"/>
        <charset val="162"/>
      </rPr>
      <t>:</t>
    </r>
  </si>
  <si>
    <r>
      <t>f</t>
    </r>
    <r>
      <rPr>
        <sz val="8"/>
        <color theme="1"/>
        <rFont val="Bahnschrift Light"/>
        <family val="2"/>
        <charset val="162"/>
      </rPr>
      <t>kl</t>
    </r>
    <r>
      <rPr>
        <sz val="11"/>
        <color theme="1"/>
        <rFont val="Bahnschrift Light"/>
        <family val="2"/>
        <charset val="162"/>
      </rPr>
      <t>:</t>
    </r>
  </si>
  <si>
    <r>
      <t>I</t>
    </r>
    <r>
      <rPr>
        <sz val="8"/>
        <color theme="1"/>
        <rFont val="Bahnschrift Light"/>
        <family val="2"/>
        <charset val="162"/>
      </rPr>
      <t>l</t>
    </r>
    <r>
      <rPr>
        <sz val="11"/>
        <color theme="1"/>
        <rFont val="Bahnschrift Light"/>
        <family val="2"/>
        <charset val="162"/>
      </rPr>
      <t>:</t>
    </r>
  </si>
  <si>
    <r>
      <t>E</t>
    </r>
    <r>
      <rPr>
        <sz val="8"/>
        <color theme="1"/>
        <rFont val="Bahnschrift Light"/>
        <family val="2"/>
        <charset val="162"/>
      </rPr>
      <t>bk</t>
    </r>
    <r>
      <rPr>
        <sz val="11"/>
        <color theme="1"/>
        <rFont val="Bahnschrift Light"/>
        <family val="2"/>
        <charset val="162"/>
      </rPr>
      <t>:</t>
    </r>
  </si>
  <si>
    <r>
      <t>f</t>
    </r>
    <r>
      <rPr>
        <sz val="8"/>
        <color theme="1"/>
        <rFont val="Bahnschrift Light"/>
        <family val="2"/>
        <charset val="162"/>
      </rPr>
      <t>ebk</t>
    </r>
    <r>
      <rPr>
        <sz val="11"/>
        <color theme="1"/>
        <rFont val="Bahnschrift Light"/>
        <family val="2"/>
        <charset val="162"/>
      </rPr>
      <t>:</t>
    </r>
  </si>
  <si>
    <r>
      <t>f</t>
    </r>
    <r>
      <rPr>
        <sz val="8"/>
        <color theme="1"/>
        <rFont val="Bahnschrift Light"/>
        <family val="2"/>
        <charset val="162"/>
      </rPr>
      <t>kbk</t>
    </r>
    <r>
      <rPr>
        <sz val="11"/>
        <color theme="1"/>
        <rFont val="Bahnschrift Light"/>
        <family val="2"/>
        <charset val="162"/>
      </rPr>
      <t>:</t>
    </r>
  </si>
  <si>
    <r>
      <t>I</t>
    </r>
    <r>
      <rPr>
        <sz val="8"/>
        <color theme="1"/>
        <rFont val="Bahnschrift Light"/>
        <family val="2"/>
        <charset val="162"/>
      </rPr>
      <t>bk</t>
    </r>
    <r>
      <rPr>
        <sz val="11"/>
        <color theme="1"/>
        <rFont val="Bahnschrift Light"/>
        <family val="2"/>
        <charset val="162"/>
      </rPr>
      <t>:</t>
    </r>
  </si>
  <si>
    <r>
      <t>E</t>
    </r>
    <r>
      <rPr>
        <sz val="8"/>
        <color theme="1"/>
        <rFont val="Bahnschrift Light"/>
        <family val="2"/>
        <charset val="162"/>
      </rPr>
      <t>ik</t>
    </r>
    <r>
      <rPr>
        <sz val="11"/>
        <color theme="1"/>
        <rFont val="Bahnschrift Light"/>
        <family val="2"/>
        <charset val="162"/>
      </rPr>
      <t>:</t>
    </r>
  </si>
  <si>
    <r>
      <t>f</t>
    </r>
    <r>
      <rPr>
        <sz val="8"/>
        <color theme="1"/>
        <rFont val="Bahnschrift Light"/>
        <family val="2"/>
        <charset val="162"/>
      </rPr>
      <t>eik</t>
    </r>
    <r>
      <rPr>
        <sz val="11"/>
        <color theme="1"/>
        <rFont val="Bahnschrift Light"/>
        <family val="2"/>
        <charset val="162"/>
      </rPr>
      <t>:</t>
    </r>
  </si>
  <si>
    <r>
      <t>f</t>
    </r>
    <r>
      <rPr>
        <sz val="8"/>
        <color theme="1"/>
        <rFont val="Bahnschrift Light"/>
        <family val="2"/>
        <charset val="162"/>
      </rPr>
      <t>kik</t>
    </r>
    <r>
      <rPr>
        <sz val="11"/>
        <color theme="1"/>
        <rFont val="Bahnschrift Light"/>
        <family val="2"/>
        <charset val="162"/>
      </rPr>
      <t>:</t>
    </r>
  </si>
  <si>
    <r>
      <t>I</t>
    </r>
    <r>
      <rPr>
        <sz val="8"/>
        <color theme="1"/>
        <rFont val="Bahnschrift Light"/>
        <family val="2"/>
        <charset val="162"/>
      </rPr>
      <t>ik</t>
    </r>
    <r>
      <rPr>
        <sz val="11"/>
        <color theme="1"/>
        <rFont val="Bahnschrift Light"/>
        <family val="2"/>
        <charset val="162"/>
      </rPr>
      <t>:</t>
    </r>
  </si>
  <si>
    <t>Mpa</t>
  </si>
  <si>
    <r>
      <t>mm</t>
    </r>
    <r>
      <rPr>
        <vertAlign val="superscript"/>
        <sz val="10"/>
        <color theme="1"/>
        <rFont val="Calibri"/>
        <family val="2"/>
        <charset val="162"/>
        <scheme val="minor"/>
      </rPr>
      <t>4</t>
    </r>
  </si>
  <si>
    <t>18mm Plywood</t>
  </si>
  <si>
    <t>18mm OSB</t>
  </si>
  <si>
    <t>5x5</t>
  </si>
  <si>
    <t>5x10</t>
  </si>
  <si>
    <t>10x10</t>
  </si>
  <si>
    <t>5x15</t>
  </si>
  <si>
    <t>A</t>
  </si>
  <si>
    <t>Sx</t>
  </si>
  <si>
    <t>Ix</t>
  </si>
  <si>
    <t>Iy</t>
  </si>
  <si>
    <t>Sy</t>
  </si>
  <si>
    <r>
      <t>mm</t>
    </r>
    <r>
      <rPr>
        <vertAlign val="superscript"/>
        <sz val="11"/>
        <color theme="1"/>
        <rFont val="Calibri"/>
        <family val="2"/>
        <charset val="162"/>
        <scheme val="minor"/>
      </rPr>
      <t>2</t>
    </r>
  </si>
  <si>
    <r>
      <t>mm</t>
    </r>
    <r>
      <rPr>
        <vertAlign val="superscript"/>
        <sz val="10"/>
        <color theme="1"/>
        <rFont val="Calibri"/>
        <family val="2"/>
        <charset val="162"/>
        <scheme val="minor"/>
      </rPr>
      <t>3</t>
    </r>
  </si>
  <si>
    <t>C14</t>
  </si>
  <si>
    <t>C16</t>
  </si>
  <si>
    <t>C18</t>
  </si>
  <si>
    <t>C20</t>
  </si>
  <si>
    <t>C22</t>
  </si>
  <si>
    <t>C24</t>
  </si>
  <si>
    <t>C27</t>
  </si>
  <si>
    <t>C35</t>
  </si>
  <si>
    <t>C40</t>
  </si>
  <si>
    <t>C45</t>
  </si>
  <si>
    <t>C50</t>
  </si>
  <si>
    <t>N/mm2</t>
  </si>
  <si>
    <t>KN/mm2</t>
  </si>
  <si>
    <t>Kg/m3</t>
  </si>
  <si>
    <t>Sınıf</t>
  </si>
  <si>
    <t>Eğilme</t>
  </si>
  <si>
    <t>Çekme (lif yönü)</t>
  </si>
  <si>
    <t>Çekme (life dik)</t>
  </si>
  <si>
    <t>Basınç (lif yönü)</t>
  </si>
  <si>
    <t>Basınç (life dik)</t>
  </si>
  <si>
    <t>Kayma</t>
  </si>
  <si>
    <r>
      <t>E</t>
    </r>
    <r>
      <rPr>
        <sz val="8"/>
        <color theme="1"/>
        <rFont val="Calibri"/>
        <family val="2"/>
        <charset val="162"/>
        <scheme val="minor"/>
      </rPr>
      <t>0,mean</t>
    </r>
    <r>
      <rPr>
        <sz val="11"/>
        <color theme="1"/>
        <rFont val="Calibri"/>
        <family val="2"/>
        <charset val="162"/>
        <scheme val="minor"/>
      </rPr>
      <t xml:space="preserve"> (lif yönü)</t>
    </r>
  </si>
  <si>
    <r>
      <t>E</t>
    </r>
    <r>
      <rPr>
        <sz val="8"/>
        <color theme="1"/>
        <rFont val="Calibri"/>
        <family val="2"/>
        <charset val="162"/>
        <scheme val="minor"/>
      </rPr>
      <t>0,05</t>
    </r>
    <r>
      <rPr>
        <sz val="11"/>
        <color theme="1"/>
        <rFont val="Calibri"/>
        <family val="2"/>
        <charset val="162"/>
        <scheme val="minor"/>
      </rPr>
      <t xml:space="preserve"> (lif yönü)</t>
    </r>
  </si>
  <si>
    <r>
      <t>E</t>
    </r>
    <r>
      <rPr>
        <sz val="8"/>
        <color theme="1"/>
        <rFont val="Calibri"/>
        <family val="2"/>
        <charset val="162"/>
        <scheme val="minor"/>
      </rPr>
      <t>90,mean</t>
    </r>
    <r>
      <rPr>
        <sz val="11"/>
        <color theme="1"/>
        <rFont val="Calibri"/>
        <family val="2"/>
        <charset val="162"/>
        <scheme val="minor"/>
      </rPr>
      <t xml:space="preserve"> (life dik)</t>
    </r>
  </si>
  <si>
    <t>Kayma Modülü</t>
  </si>
  <si>
    <t>Kar. Yoğunluk</t>
  </si>
  <si>
    <t>Ort. Yoğunluk</t>
  </si>
  <si>
    <t>Kereste Sınıfı:</t>
  </si>
  <si>
    <t>Çelik elemanlar:</t>
  </si>
  <si>
    <t>S235</t>
  </si>
  <si>
    <r>
      <rPr>
        <sz val="10"/>
        <color rgb="FF211E1F"/>
        <rFont val="Times New Roman"/>
        <family val="1"/>
      </rPr>
      <t>Elastisite modülü Eğilme (N/mm</t>
    </r>
    <r>
      <rPr>
        <vertAlign val="superscript"/>
        <sz val="5.5"/>
        <color rgb="FF211E1F"/>
        <rFont val="Times New Roman"/>
        <family val="1"/>
      </rPr>
      <t>2</t>
    </r>
    <r>
      <rPr>
        <sz val="10"/>
        <color rgb="FF211E1F"/>
        <rFont val="Times New Roman"/>
        <family val="1"/>
      </rPr>
      <t>)</t>
    </r>
  </si>
  <si>
    <r>
      <rPr>
        <sz val="10"/>
        <color rgb="FF211E1F"/>
        <rFont val="Times New Roman"/>
        <family val="1"/>
      </rPr>
      <t>Karakteristik mukavemet Eğilme (N/mm</t>
    </r>
    <r>
      <rPr>
        <vertAlign val="superscript"/>
        <sz val="5.5"/>
        <color rgb="FF211E1F"/>
        <rFont val="Times New Roman"/>
        <family val="1"/>
      </rPr>
      <t>2</t>
    </r>
    <r>
      <rPr>
        <sz val="10"/>
        <color rgb="FF211E1F"/>
        <rFont val="Times New Roman"/>
        <family val="1"/>
      </rPr>
      <t>)</t>
    </r>
  </si>
  <si>
    <t>18 mm</t>
  </si>
  <si>
    <t>Nominal kalınlık</t>
  </si>
  <si>
    <r>
      <rPr>
        <sz val="10"/>
        <color rgb="FF211E1F"/>
        <rFont val="Times New Roman"/>
        <family val="1"/>
      </rPr>
      <t xml:space="preserve">Em </t>
    </r>
    <r>
      <rPr>
        <sz val="10"/>
        <color rgb="FF211E1F"/>
        <rFont val="Arial Tur"/>
        <charset val="162"/>
      </rPr>
      <t>≈</t>
    </r>
  </si>
  <si>
    <r>
      <rPr>
        <sz val="10"/>
        <color rgb="FF211E1F"/>
        <rFont val="Times New Roman"/>
        <family val="1"/>
      </rPr>
      <t xml:space="preserve">Em </t>
    </r>
    <r>
      <rPr>
        <sz val="10"/>
        <color rgb="FF211E1F"/>
        <rFont val="Arial Tur"/>
        <charset val="162"/>
      </rPr>
      <t>┴</t>
    </r>
  </si>
  <si>
    <r>
      <rPr>
        <sz val="10"/>
        <color rgb="FF211E1F"/>
        <rFont val="Times New Roman"/>
        <family val="1"/>
      </rPr>
      <t xml:space="preserve">fm </t>
    </r>
    <r>
      <rPr>
        <sz val="10"/>
        <rFont val="Times New Roman"/>
        <family val="1"/>
        <charset val="162"/>
      </rPr>
      <t>≈</t>
    </r>
  </si>
  <si>
    <t>fm ┴</t>
  </si>
  <si>
    <t>PLYWOOD</t>
  </si>
  <si>
    <t>Ağaç Türü</t>
  </si>
  <si>
    <t>Yoğunluk (kg/m3)</t>
  </si>
  <si>
    <t>Bükülme Mukavemeti (N/mm2)</t>
  </si>
  <si>
    <t>MOE Bükülme (N/mm2)</t>
  </si>
  <si>
    <t>Kesme Mukavemeti (N/mm2)</t>
  </si>
  <si>
    <t>Basınç Mukavemeti (N/mm2)</t>
  </si>
  <si>
    <t>Huş (Birch)</t>
  </si>
  <si>
    <t>610 - 650</t>
  </si>
  <si>
    <t>120 - 144</t>
  </si>
  <si>
    <t>13300 - 16200</t>
  </si>
  <si>
    <t>11.8 - 14.2</t>
  </si>
  <si>
    <t>49 - 60</t>
  </si>
  <si>
    <t>Kavak</t>
  </si>
  <si>
    <t>400 - 430</t>
  </si>
  <si>
    <t>65 - 77</t>
  </si>
  <si>
    <t>10000 - 12000</t>
  </si>
  <si>
    <t>40 - 50</t>
  </si>
  <si>
    <t>Keruing</t>
  </si>
  <si>
    <t>680 - 850</t>
  </si>
  <si>
    <t>110 - 160</t>
  </si>
  <si>
    <t>14000 - 21000</t>
  </si>
  <si>
    <t>58 - 71</t>
  </si>
  <si>
    <t>Kayın (Beech)</t>
  </si>
  <si>
    <t>660 - 715</t>
  </si>
  <si>
    <t>90 - 125</t>
  </si>
  <si>
    <t>12300 - 16400</t>
  </si>
  <si>
    <t>52 - 64</t>
  </si>
  <si>
    <t>Meranti (White/Red)</t>
  </si>
  <si>
    <t>550 - 700</t>
  </si>
  <si>
    <t>90 - 126</t>
  </si>
  <si>
    <t>11400 - 15700</t>
  </si>
  <si>
    <t>51 - 65</t>
  </si>
  <si>
    <t>Kara Çam</t>
  </si>
  <si>
    <t>550 - 620</t>
  </si>
  <si>
    <t>88 - 99</t>
  </si>
  <si>
    <t>10600 - 14500</t>
  </si>
  <si>
    <t>8.8 - 10.9</t>
  </si>
  <si>
    <t>45 - 62</t>
  </si>
  <si>
    <t>Douglas Çamı</t>
  </si>
  <si>
    <t>5 - 5.7</t>
  </si>
  <si>
    <t>9 - 11.7</t>
  </si>
  <si>
    <t>7.7 - 10</t>
  </si>
  <si>
    <t>8.2 - 10</t>
  </si>
  <si>
    <t>İç yapışma</t>
  </si>
  <si>
    <t>Levha tipi (teknik sınıf)</t>
  </si>
  <si>
    <r>
      <rPr>
        <sz val="10"/>
        <color rgb="FF211F1F"/>
        <rFont val="Calibri"/>
        <family val="2"/>
        <charset val="162"/>
        <scheme val="minor"/>
      </rPr>
      <t>Gerekler</t>
    </r>
  </si>
  <si>
    <r>
      <rPr>
        <sz val="10"/>
        <color rgb="FF211F1F"/>
        <rFont val="Calibri"/>
        <family val="2"/>
        <charset val="162"/>
        <scheme val="minor"/>
      </rPr>
      <t>B r m</t>
    </r>
  </si>
  <si>
    <r>
      <rPr>
        <sz val="10"/>
        <color rgb="FF211F1F"/>
        <rFont val="Calibri"/>
        <family val="2"/>
        <charset val="162"/>
        <scheme val="minor"/>
      </rPr>
      <t>N/mm
2</t>
    </r>
  </si>
  <si>
    <r>
      <rPr>
        <sz val="10"/>
        <color rgb="FF211F1F"/>
        <rFont val="Calibri"/>
        <family val="2"/>
        <charset val="162"/>
        <scheme val="minor"/>
      </rPr>
      <t>%</t>
    </r>
  </si>
  <si>
    <r>
      <t>Öze</t>
    </r>
    <r>
      <rPr>
        <b/>
        <sz val="10"/>
        <color rgb="FF211F1F"/>
        <rFont val="Calibri"/>
        <family val="2"/>
        <charset val="162"/>
        <scheme val="minor"/>
      </rPr>
      <t>lli</t>
    </r>
    <r>
      <rPr>
        <sz val="10"/>
        <color rgb="FF211F1F"/>
        <rFont val="Calibri"/>
        <family val="2"/>
        <charset val="162"/>
        <scheme val="minor"/>
      </rPr>
      <t>k</t>
    </r>
  </si>
  <si>
    <r>
      <t>6&lt;t</t>
    </r>
    <r>
      <rPr>
        <sz val="10"/>
        <color rgb="FF211F1F"/>
        <rFont val="Arial Tur"/>
        <charset val="162"/>
      </rPr>
      <t>≤</t>
    </r>
    <r>
      <rPr>
        <sz val="10"/>
        <color rgb="FF211F1F"/>
        <rFont val="Calibri"/>
        <family val="2"/>
        <charset val="162"/>
        <scheme val="minor"/>
      </rPr>
      <t>10</t>
    </r>
  </si>
  <si>
    <r>
      <rPr>
        <sz val="10"/>
        <color rgb="FF211F1F"/>
        <rFont val="Calibri"/>
        <family val="2"/>
        <charset val="162"/>
        <scheme val="minor"/>
      </rPr>
      <t>10&lt;t</t>
    </r>
    <r>
      <rPr>
        <sz val="10"/>
        <color rgb="FF211F1F"/>
        <rFont val="Arial Tur"/>
        <charset val="162"/>
      </rPr>
      <t>≤</t>
    </r>
    <r>
      <rPr>
        <sz val="10"/>
        <color rgb="FF211F1F"/>
        <rFont val="Calibri"/>
        <family val="2"/>
        <charset val="162"/>
        <scheme val="minor"/>
      </rPr>
      <t>18</t>
    </r>
  </si>
  <si>
    <r>
      <rPr>
        <sz val="10"/>
        <color rgb="FF211F1F"/>
        <rFont val="Calibri"/>
        <family val="2"/>
        <charset val="162"/>
        <scheme val="minor"/>
      </rPr>
      <t>18&lt;t</t>
    </r>
    <r>
      <rPr>
        <sz val="10"/>
        <color rgb="FF211F1F"/>
        <rFont val="Arial Tur"/>
        <charset val="162"/>
      </rPr>
      <t>≤</t>
    </r>
    <r>
      <rPr>
        <sz val="10"/>
        <color rgb="FF211F1F"/>
        <rFont val="Calibri"/>
        <family val="2"/>
        <charset val="162"/>
        <scheme val="minor"/>
      </rPr>
      <t>25</t>
    </r>
  </si>
  <si>
    <r>
      <rPr>
        <sz val="10"/>
        <color rgb="FF211F1F"/>
        <rFont val="Calibri"/>
        <family val="2"/>
        <charset val="162"/>
        <scheme val="minor"/>
      </rPr>
      <t>25&lt;t</t>
    </r>
    <r>
      <rPr>
        <sz val="10"/>
        <color rgb="FF211F1F"/>
        <rFont val="Arial Tur"/>
        <charset val="162"/>
      </rPr>
      <t>≤</t>
    </r>
    <r>
      <rPr>
        <sz val="10"/>
        <color rgb="FF211F1F"/>
        <rFont val="Calibri"/>
        <family val="2"/>
        <charset val="162"/>
        <scheme val="minor"/>
      </rPr>
      <t>32</t>
    </r>
  </si>
  <si>
    <r>
      <rPr>
        <sz val="10"/>
        <color rgb="FF211F1F"/>
        <rFont val="Calibri"/>
        <family val="2"/>
        <charset val="162"/>
        <scheme val="minor"/>
      </rPr>
      <t>32&lt;t</t>
    </r>
    <r>
      <rPr>
        <sz val="10"/>
        <color rgb="FF211F1F"/>
        <rFont val="Arial Tur"/>
        <charset val="162"/>
      </rPr>
      <t>≤</t>
    </r>
    <r>
      <rPr>
        <sz val="10"/>
        <color rgb="FF211F1F"/>
        <rFont val="Calibri"/>
        <family val="2"/>
        <charset val="162"/>
        <scheme val="minor"/>
      </rPr>
      <t>40</t>
    </r>
  </si>
  <si>
    <r>
      <rPr>
        <b/>
        <sz val="11"/>
        <color rgb="FF211F1F"/>
        <rFont val="Calibri"/>
        <family val="2"/>
        <charset val="162"/>
        <scheme val="minor"/>
      </rPr>
      <t>OSB/3</t>
    </r>
  </si>
  <si>
    <t>Levha kalınlık (t) aralığı (mm,anma)</t>
  </si>
  <si>
    <t>Eğilme Mukavemeti -Küçük eksen</t>
  </si>
  <si>
    <t>Eğilmede esneklik modülü-Büyük eksen</t>
  </si>
  <si>
    <t>Eğilmede esneklik modülü-Küçük eksen</t>
  </si>
  <si>
    <t>Kalınlığına şişme- 24 sat süreyle daldırma</t>
  </si>
  <si>
    <t>Eğilme mukavemeti -Büyük eksen</t>
  </si>
  <si>
    <t>Yükseklik
Height (cm)</t>
  </si>
  <si>
    <t>Yük Kapasitesi</t>
  </si>
  <si>
    <t>Load (kg)</t>
  </si>
  <si>
    <t>3.0mt</t>
  </si>
  <si>
    <t>3.50mt</t>
  </si>
  <si>
    <t>4.0mt</t>
  </si>
  <si>
    <t>4.50mt</t>
  </si>
  <si>
    <t>Lmin - Lmax 175-300 cm</t>
  </si>
  <si>
    <t>Lmin - Lmax 250-400 cm</t>
  </si>
  <si>
    <t>Lmin - Lmax 250-450 cm</t>
  </si>
  <si>
    <t>Lmin - Lmax 200-350 cm</t>
  </si>
  <si>
    <t>21 mm</t>
  </si>
  <si>
    <t>21mm Plywood</t>
  </si>
  <si>
    <t>18mm PVC</t>
  </si>
  <si>
    <t>PVC PLYWOOD PANEL</t>
  </si>
  <si>
    <r>
      <t>mm</t>
    </r>
    <r>
      <rPr>
        <vertAlign val="superscript"/>
        <sz val="10"/>
        <color theme="1"/>
        <rFont val="Calibri"/>
        <family val="2"/>
        <charset val="162"/>
        <scheme val="minor"/>
      </rPr>
      <t>4</t>
    </r>
    <r>
      <rPr>
        <sz val="10"/>
        <color theme="1"/>
        <rFont val="Calibri"/>
        <family val="2"/>
        <charset val="162"/>
        <scheme val="minor"/>
      </rPr>
      <t>/m</t>
    </r>
  </si>
  <si>
    <t>Dikme Kapasitesi:</t>
  </si>
  <si>
    <t>mm</t>
  </si>
  <si>
    <t>Kalıp Malzemesi</t>
  </si>
  <si>
    <t>AYARLANABİLİR DİKME TAŞIMA KAPASİTELERİ</t>
  </si>
  <si>
    <r>
      <t>Dikme Kapasite N</t>
    </r>
    <r>
      <rPr>
        <sz val="8"/>
        <color theme="1"/>
        <rFont val="Calibri"/>
        <family val="2"/>
        <charset val="162"/>
        <scheme val="minor"/>
      </rPr>
      <t>d</t>
    </r>
    <r>
      <rPr>
        <sz val="11"/>
        <color theme="1"/>
        <rFont val="Calibri"/>
        <family val="2"/>
        <charset val="162"/>
        <scheme val="minor"/>
      </rPr>
      <t>:</t>
    </r>
  </si>
  <si>
    <r>
      <t>Dikme Etkin Boy l</t>
    </r>
    <r>
      <rPr>
        <sz val="8"/>
        <color theme="1"/>
        <rFont val="Calibri"/>
        <family val="2"/>
        <charset val="162"/>
        <scheme val="minor"/>
      </rPr>
      <t>e</t>
    </r>
    <r>
      <rPr>
        <sz val="11"/>
        <color theme="1"/>
        <rFont val="Calibri"/>
        <family val="2"/>
        <charset val="162"/>
        <scheme val="minor"/>
      </rPr>
      <t>:</t>
    </r>
  </si>
  <si>
    <r>
      <t>A</t>
    </r>
    <r>
      <rPr>
        <sz val="8"/>
        <color theme="1"/>
        <rFont val="Bahnschrift Light"/>
        <family val="2"/>
        <charset val="162"/>
      </rPr>
      <t>l</t>
    </r>
  </si>
  <si>
    <t>Yüklemeler:</t>
  </si>
  <si>
    <t>Döşeme Kalınlığı:</t>
  </si>
  <si>
    <t>Kalıp Ağırlığı:</t>
  </si>
  <si>
    <t>G toplam:</t>
  </si>
  <si>
    <t>Hareketli Yük Q:</t>
  </si>
  <si>
    <t>Döşeme Ağırlığı:</t>
  </si>
  <si>
    <r>
      <rPr>
        <b/>
        <sz val="9"/>
        <color rgb="FF221F1F"/>
        <rFont val="Calibri"/>
        <family val="2"/>
        <charset val="162"/>
        <scheme val="minor"/>
      </rPr>
      <t>Dış Çap</t>
    </r>
  </si>
  <si>
    <r>
      <rPr>
        <b/>
        <sz val="9"/>
        <color rgb="FF221F1F"/>
        <rFont val="Calibri"/>
        <family val="2"/>
        <charset val="162"/>
        <scheme val="minor"/>
      </rPr>
      <t>Et Kalınlığı</t>
    </r>
  </si>
  <si>
    <r>
      <rPr>
        <b/>
        <sz val="9"/>
        <color rgb="FF221F1F"/>
        <rFont val="Calibri"/>
        <family val="2"/>
        <charset val="162"/>
        <scheme val="minor"/>
      </rPr>
      <t>Birim Ağırlık</t>
    </r>
  </si>
  <si>
    <r>
      <rPr>
        <b/>
        <sz val="9"/>
        <color rgb="FF221F1F"/>
        <rFont val="Calibri"/>
        <family val="2"/>
        <charset val="162"/>
        <scheme val="minor"/>
      </rPr>
      <t>Kesit Alanı</t>
    </r>
  </si>
  <si>
    <r>
      <rPr>
        <b/>
        <sz val="9"/>
        <color rgb="FF221F1F"/>
        <rFont val="Calibri"/>
        <family val="2"/>
        <charset val="162"/>
        <scheme val="minor"/>
      </rPr>
      <t>Yüzey Alanı</t>
    </r>
  </si>
  <si>
    <r>
      <rPr>
        <b/>
        <sz val="9"/>
        <color rgb="FF221F1F"/>
        <rFont val="Calibri"/>
        <family val="2"/>
        <charset val="162"/>
        <scheme val="minor"/>
      </rPr>
      <t>Atalent Momenti</t>
    </r>
  </si>
  <si>
    <r>
      <rPr>
        <b/>
        <sz val="9"/>
        <color rgb="FF221F1F"/>
        <rFont val="Calibri"/>
        <family val="2"/>
        <charset val="162"/>
        <scheme val="minor"/>
      </rPr>
      <t>Atalet Yarı Çapı</t>
    </r>
  </si>
  <si>
    <r>
      <rPr>
        <b/>
        <sz val="9"/>
        <color rgb="FF221F1F"/>
        <rFont val="Calibri"/>
        <family val="2"/>
        <charset val="162"/>
        <scheme val="minor"/>
      </rPr>
      <t>Mukavement Momenti</t>
    </r>
  </si>
  <si>
    <r>
      <rPr>
        <b/>
        <sz val="9"/>
        <color rgb="FF221F1F"/>
        <rFont val="Calibri"/>
        <family val="2"/>
        <charset val="162"/>
        <scheme val="minor"/>
      </rPr>
      <t>Plastiste Momenti</t>
    </r>
  </si>
  <si>
    <r>
      <rPr>
        <b/>
        <sz val="9"/>
        <color rgb="FF221F1F"/>
        <rFont val="Calibri"/>
        <family val="2"/>
        <charset val="162"/>
        <scheme val="minor"/>
      </rPr>
      <t>Burulma Katsayıları</t>
    </r>
  </si>
  <si>
    <r>
      <rPr>
        <b/>
        <sz val="9"/>
        <color rgb="FF221F1F"/>
        <rFont val="Calibri"/>
        <family val="2"/>
        <charset val="162"/>
        <scheme val="minor"/>
      </rPr>
      <t>D
mm</t>
    </r>
  </si>
  <si>
    <r>
      <rPr>
        <b/>
        <sz val="9"/>
        <color rgb="FF221F1F"/>
        <rFont val="Calibri"/>
        <family val="2"/>
        <charset val="162"/>
        <scheme val="minor"/>
      </rPr>
      <t>t mm</t>
    </r>
  </si>
  <si>
    <r>
      <rPr>
        <b/>
        <sz val="9"/>
        <color rgb="FF221F1F"/>
        <rFont val="Calibri"/>
        <family val="2"/>
        <charset val="162"/>
        <scheme val="minor"/>
      </rPr>
      <t>M
kg/m</t>
    </r>
  </si>
  <si>
    <r>
      <rPr>
        <b/>
        <sz val="9"/>
        <color rgb="FF221F1F"/>
        <rFont val="Calibri"/>
        <family val="2"/>
        <charset val="162"/>
        <scheme val="minor"/>
      </rPr>
      <t>A
cm</t>
    </r>
    <r>
      <rPr>
        <b/>
        <vertAlign val="superscript"/>
        <sz val="9"/>
        <color rgb="FF221F1F"/>
        <rFont val="Calibri"/>
        <family val="2"/>
        <charset val="162"/>
        <scheme val="minor"/>
      </rPr>
      <t>2</t>
    </r>
  </si>
  <si>
    <r>
      <rPr>
        <b/>
        <sz val="9"/>
        <color rgb="FF221F1F"/>
        <rFont val="Calibri"/>
        <family val="2"/>
        <charset val="162"/>
        <scheme val="minor"/>
      </rPr>
      <t>AS
m</t>
    </r>
    <r>
      <rPr>
        <b/>
        <vertAlign val="superscript"/>
        <sz val="9"/>
        <color rgb="FF221F1F"/>
        <rFont val="Calibri"/>
        <family val="2"/>
        <charset val="162"/>
        <scheme val="minor"/>
      </rPr>
      <t>2</t>
    </r>
    <r>
      <rPr>
        <b/>
        <sz val="9"/>
        <color rgb="FF221F1F"/>
        <rFont val="Calibri"/>
        <family val="2"/>
        <charset val="162"/>
        <scheme val="minor"/>
      </rPr>
      <t>/m</t>
    </r>
  </si>
  <si>
    <r>
      <rPr>
        <b/>
        <sz val="9"/>
        <color rgb="FF221F1F"/>
        <rFont val="Calibri"/>
        <family val="2"/>
        <charset val="162"/>
        <scheme val="minor"/>
      </rPr>
      <t>I
cm</t>
    </r>
    <r>
      <rPr>
        <b/>
        <vertAlign val="superscript"/>
        <sz val="9"/>
        <color rgb="FF221F1F"/>
        <rFont val="Calibri"/>
        <family val="2"/>
        <charset val="162"/>
        <scheme val="minor"/>
      </rPr>
      <t>4</t>
    </r>
  </si>
  <si>
    <r>
      <rPr>
        <b/>
        <sz val="9"/>
        <color rgb="FF221F1F"/>
        <rFont val="Calibri"/>
        <family val="2"/>
        <charset val="162"/>
        <scheme val="minor"/>
      </rPr>
      <t>İ
cm</t>
    </r>
  </si>
  <si>
    <r>
      <rPr>
        <b/>
        <sz val="9"/>
        <color rgb="FF221F1F"/>
        <rFont val="Calibri"/>
        <family val="2"/>
        <charset val="162"/>
        <scheme val="minor"/>
      </rPr>
      <t>Wel cm</t>
    </r>
    <r>
      <rPr>
        <b/>
        <vertAlign val="superscript"/>
        <sz val="9"/>
        <color rgb="FF221F1F"/>
        <rFont val="Calibri"/>
        <family val="2"/>
        <charset val="162"/>
        <scheme val="minor"/>
      </rPr>
      <t>3</t>
    </r>
  </si>
  <si>
    <r>
      <rPr>
        <b/>
        <sz val="9"/>
        <color rgb="FF221F1F"/>
        <rFont val="Calibri"/>
        <family val="2"/>
        <charset val="162"/>
        <scheme val="minor"/>
      </rPr>
      <t>Wpl cm</t>
    </r>
    <r>
      <rPr>
        <b/>
        <vertAlign val="superscript"/>
        <sz val="9"/>
        <color rgb="FF221F1F"/>
        <rFont val="Calibri"/>
        <family val="2"/>
        <charset val="162"/>
        <scheme val="minor"/>
      </rPr>
      <t>3</t>
    </r>
  </si>
  <si>
    <r>
      <rPr>
        <b/>
        <sz val="9"/>
        <color rgb="FF221F1F"/>
        <rFont val="Calibri"/>
        <family val="2"/>
        <charset val="162"/>
        <scheme val="minor"/>
      </rPr>
      <t>lt cm</t>
    </r>
    <r>
      <rPr>
        <b/>
        <vertAlign val="superscript"/>
        <sz val="9"/>
        <color rgb="FF221F1F"/>
        <rFont val="Calibri"/>
        <family val="2"/>
        <charset val="162"/>
        <scheme val="minor"/>
      </rPr>
      <t>4</t>
    </r>
  </si>
  <si>
    <r>
      <rPr>
        <b/>
        <sz val="9"/>
        <color rgb="FF221F1F"/>
        <rFont val="Calibri"/>
        <family val="2"/>
        <charset val="162"/>
        <scheme val="minor"/>
      </rPr>
      <t>Ct cm</t>
    </r>
    <r>
      <rPr>
        <b/>
        <vertAlign val="superscript"/>
        <sz val="9"/>
        <color rgb="FF221F1F"/>
        <rFont val="Calibri"/>
        <family val="2"/>
        <charset val="162"/>
        <scheme val="minor"/>
      </rPr>
      <t>3</t>
    </r>
  </si>
  <si>
    <r>
      <rPr>
        <sz val="9"/>
        <color rgb="FF221F1F"/>
        <rFont val="Calibri"/>
        <family val="2"/>
        <charset val="162"/>
        <scheme val="minor"/>
      </rPr>
      <t>21,3
21,3</t>
    </r>
  </si>
  <si>
    <r>
      <rPr>
        <sz val="9"/>
        <color rgb="FF221F1F"/>
        <rFont val="Calibri"/>
        <family val="2"/>
        <charset val="162"/>
        <scheme val="minor"/>
      </rPr>
      <t>2,0
2,5</t>
    </r>
  </si>
  <si>
    <r>
      <rPr>
        <sz val="9"/>
        <color rgb="FF221F1F"/>
        <rFont val="Calibri"/>
        <family val="2"/>
        <charset val="162"/>
        <scheme val="minor"/>
      </rPr>
      <t>0,95
1,16</t>
    </r>
  </si>
  <si>
    <r>
      <rPr>
        <sz val="9"/>
        <color rgb="FF221F1F"/>
        <rFont val="Calibri"/>
        <family val="2"/>
        <charset val="162"/>
        <scheme val="minor"/>
      </rPr>
      <t>1,21
1,48</t>
    </r>
  </si>
  <si>
    <r>
      <rPr>
        <sz val="9"/>
        <color rgb="FF221F1F"/>
        <rFont val="Calibri"/>
        <family val="2"/>
        <charset val="162"/>
        <scheme val="minor"/>
      </rPr>
      <t>0,07
0,07</t>
    </r>
  </si>
  <si>
    <r>
      <rPr>
        <sz val="9"/>
        <color rgb="FF221F1F"/>
        <rFont val="Calibri"/>
        <family val="2"/>
        <charset val="162"/>
        <scheme val="minor"/>
      </rPr>
      <t>0,57
0,66</t>
    </r>
  </si>
  <si>
    <r>
      <rPr>
        <sz val="9"/>
        <color rgb="FF221F1F"/>
        <rFont val="Calibri"/>
        <family val="2"/>
        <charset val="162"/>
        <scheme val="minor"/>
      </rPr>
      <t>0,69
0,67</t>
    </r>
  </si>
  <si>
    <r>
      <rPr>
        <sz val="9"/>
        <color rgb="FF221F1F"/>
        <rFont val="Calibri"/>
        <family val="2"/>
        <charset val="162"/>
        <scheme val="minor"/>
      </rPr>
      <t>0,54
0,62</t>
    </r>
  </si>
  <si>
    <r>
      <rPr>
        <sz val="9"/>
        <color rgb="FF221F1F"/>
        <rFont val="Calibri"/>
        <family val="2"/>
        <charset val="162"/>
        <scheme val="minor"/>
      </rPr>
      <t>0,75
0,89</t>
    </r>
  </si>
  <si>
    <r>
      <rPr>
        <sz val="9"/>
        <color rgb="FF221F1F"/>
        <rFont val="Calibri"/>
        <family val="2"/>
        <charset val="162"/>
        <scheme val="minor"/>
      </rPr>
      <t>1,14
1,38</t>
    </r>
  </si>
  <si>
    <r>
      <rPr>
        <sz val="9"/>
        <color rgb="FF221F1F"/>
        <rFont val="Calibri"/>
        <family val="2"/>
        <charset val="162"/>
        <scheme val="minor"/>
      </rPr>
      <t>1,07
1,25</t>
    </r>
  </si>
  <si>
    <r>
      <rPr>
        <sz val="9"/>
        <color rgb="FF221F1F"/>
        <rFont val="Calibri"/>
        <family val="2"/>
        <charset val="162"/>
        <scheme val="minor"/>
      </rPr>
      <t>21,3
26,9</t>
    </r>
  </si>
  <si>
    <r>
      <rPr>
        <sz val="9"/>
        <color rgb="FF221F1F"/>
        <rFont val="Calibri"/>
        <family val="2"/>
        <charset val="162"/>
        <scheme val="minor"/>
      </rPr>
      <t>* 3,0
* 2,0</t>
    </r>
  </si>
  <si>
    <r>
      <rPr>
        <sz val="9"/>
        <color rgb="FF221F1F"/>
        <rFont val="Calibri"/>
        <family val="2"/>
        <charset val="162"/>
        <scheme val="minor"/>
      </rPr>
      <t>1,35
1,23</t>
    </r>
  </si>
  <si>
    <r>
      <rPr>
        <sz val="9"/>
        <color rgb="FF221F1F"/>
        <rFont val="Calibri"/>
        <family val="2"/>
        <charset val="162"/>
        <scheme val="minor"/>
      </rPr>
      <t>1,72
1,56</t>
    </r>
  </si>
  <si>
    <r>
      <rPr>
        <sz val="9"/>
        <color rgb="FF221F1F"/>
        <rFont val="Calibri"/>
        <family val="2"/>
        <charset val="162"/>
        <scheme val="minor"/>
      </rPr>
      <t>0,07
0,08</t>
    </r>
  </si>
  <si>
    <r>
      <rPr>
        <sz val="9"/>
        <color rgb="FF221F1F"/>
        <rFont val="Calibri"/>
        <family val="2"/>
        <charset val="162"/>
        <scheme val="minor"/>
      </rPr>
      <t>0,74
1,22</t>
    </r>
  </si>
  <si>
    <r>
      <rPr>
        <sz val="9"/>
        <color rgb="FF221F1F"/>
        <rFont val="Calibri"/>
        <family val="2"/>
        <charset val="162"/>
        <scheme val="minor"/>
      </rPr>
      <t>0,66
0,88</t>
    </r>
  </si>
  <si>
    <r>
      <rPr>
        <sz val="9"/>
        <color rgb="FF221F1F"/>
        <rFont val="Calibri"/>
        <family val="2"/>
        <charset val="162"/>
        <scheme val="minor"/>
      </rPr>
      <t>0,7
0,91</t>
    </r>
  </si>
  <si>
    <r>
      <rPr>
        <sz val="9"/>
        <color rgb="FF221F1F"/>
        <rFont val="Calibri"/>
        <family val="2"/>
        <charset val="162"/>
        <scheme val="minor"/>
      </rPr>
      <t>1,01
1,24</t>
    </r>
  </si>
  <si>
    <r>
      <rPr>
        <sz val="9"/>
        <color rgb="FF221F1F"/>
        <rFont val="Calibri"/>
        <family val="2"/>
        <charset val="162"/>
        <scheme val="minor"/>
      </rPr>
      <t>1,48
2,44</t>
    </r>
  </si>
  <si>
    <r>
      <rPr>
        <sz val="9"/>
        <color rgb="FF221F1F"/>
        <rFont val="Calibri"/>
        <family val="2"/>
        <charset val="162"/>
        <scheme val="minor"/>
      </rPr>
      <t>1,39
1,81</t>
    </r>
  </si>
  <si>
    <r>
      <rPr>
        <sz val="9"/>
        <color rgb="FF221F1F"/>
        <rFont val="Calibri"/>
        <family val="2"/>
        <charset val="162"/>
        <scheme val="minor"/>
      </rPr>
      <t>26,9
26,9</t>
    </r>
  </si>
  <si>
    <r>
      <rPr>
        <sz val="9"/>
        <color rgb="FF221F1F"/>
        <rFont val="Calibri"/>
        <family val="2"/>
        <charset val="162"/>
        <scheme val="minor"/>
      </rPr>
      <t>* 2,5
* 3,0</t>
    </r>
  </si>
  <si>
    <r>
      <rPr>
        <sz val="9"/>
        <color rgb="FF221F1F"/>
        <rFont val="Calibri"/>
        <family val="2"/>
        <charset val="162"/>
        <scheme val="minor"/>
      </rPr>
      <t>1,50
1,77</t>
    </r>
  </si>
  <si>
    <r>
      <rPr>
        <sz val="9"/>
        <color rgb="FF221F1F"/>
        <rFont val="Calibri"/>
        <family val="2"/>
        <charset val="162"/>
        <scheme val="minor"/>
      </rPr>
      <t>1,92
2,25</t>
    </r>
  </si>
  <si>
    <r>
      <rPr>
        <sz val="9"/>
        <color rgb="FF221F1F"/>
        <rFont val="Calibri"/>
        <family val="2"/>
        <charset val="162"/>
        <scheme val="minor"/>
      </rPr>
      <t>0,08
0,08</t>
    </r>
  </si>
  <si>
    <r>
      <rPr>
        <sz val="9"/>
        <color rgb="FF221F1F"/>
        <rFont val="Calibri"/>
        <family val="2"/>
        <charset val="162"/>
        <scheme val="minor"/>
      </rPr>
      <t>1,44
1,63</t>
    </r>
  </si>
  <si>
    <r>
      <rPr>
        <sz val="9"/>
        <color rgb="FF221F1F"/>
        <rFont val="Calibri"/>
        <family val="2"/>
        <charset val="162"/>
        <scheme val="minor"/>
      </rPr>
      <t>0,87
0,85</t>
    </r>
  </si>
  <si>
    <r>
      <rPr>
        <sz val="9"/>
        <color rgb="FF221F1F"/>
        <rFont val="Calibri"/>
        <family val="2"/>
        <charset val="162"/>
        <scheme val="minor"/>
      </rPr>
      <t>1,07
1,21</t>
    </r>
  </si>
  <si>
    <r>
      <rPr>
        <sz val="9"/>
        <color rgb="FF221F1F"/>
        <rFont val="Calibri"/>
        <family val="2"/>
        <charset val="162"/>
        <scheme val="minor"/>
      </rPr>
      <t>1,49
1,72</t>
    </r>
  </si>
  <si>
    <r>
      <rPr>
        <sz val="9"/>
        <color rgb="FF221F1F"/>
        <rFont val="Calibri"/>
        <family val="2"/>
        <charset val="162"/>
        <scheme val="minor"/>
      </rPr>
      <t>2,88
3,27</t>
    </r>
  </si>
  <si>
    <r>
      <rPr>
        <sz val="9"/>
        <color rgb="FF221F1F"/>
        <rFont val="Calibri"/>
        <family val="2"/>
        <charset val="162"/>
        <scheme val="minor"/>
      </rPr>
      <t>2,14
2,43</t>
    </r>
  </si>
  <si>
    <r>
      <rPr>
        <sz val="9"/>
        <color rgb="FF221F1F"/>
        <rFont val="Calibri"/>
        <family val="2"/>
        <charset val="162"/>
        <scheme val="minor"/>
      </rPr>
      <t>33,7
33,7</t>
    </r>
  </si>
  <si>
    <r>
      <rPr>
        <sz val="9"/>
        <color rgb="FF221F1F"/>
        <rFont val="Calibri"/>
        <family val="2"/>
        <charset val="162"/>
        <scheme val="minor"/>
      </rPr>
      <t>* 2,0
* 2,5</t>
    </r>
  </si>
  <si>
    <r>
      <rPr>
        <sz val="9"/>
        <color rgb="FF221F1F"/>
        <rFont val="Calibri"/>
        <family val="2"/>
        <charset val="162"/>
        <scheme val="minor"/>
      </rPr>
      <t>1,56
1,92</t>
    </r>
  </si>
  <si>
    <r>
      <rPr>
        <sz val="9"/>
        <color rgb="FF221F1F"/>
        <rFont val="Calibri"/>
        <family val="2"/>
        <charset val="162"/>
        <scheme val="minor"/>
      </rPr>
      <t>1,99
2,45</t>
    </r>
  </si>
  <si>
    <r>
      <rPr>
        <sz val="9"/>
        <color rgb="FF221F1F"/>
        <rFont val="Calibri"/>
        <family val="2"/>
        <charset val="162"/>
        <scheme val="minor"/>
      </rPr>
      <t>0,11
0,106</t>
    </r>
  </si>
  <si>
    <r>
      <rPr>
        <sz val="9"/>
        <color rgb="FF221F1F"/>
        <rFont val="Calibri"/>
        <family val="2"/>
        <charset val="162"/>
        <scheme val="minor"/>
      </rPr>
      <t>2,51
3,00</t>
    </r>
  </si>
  <si>
    <r>
      <rPr>
        <sz val="9"/>
        <color rgb="FF221F1F"/>
        <rFont val="Calibri"/>
        <family val="2"/>
        <charset val="162"/>
        <scheme val="minor"/>
      </rPr>
      <t>1,12
1,11</t>
    </r>
  </si>
  <si>
    <r>
      <rPr>
        <sz val="9"/>
        <color rgb="FF221F1F"/>
        <rFont val="Calibri"/>
        <family val="2"/>
        <charset val="162"/>
        <scheme val="minor"/>
      </rPr>
      <t>1,49
1,78</t>
    </r>
  </si>
  <si>
    <r>
      <rPr>
        <sz val="9"/>
        <color rgb="FF221F1F"/>
        <rFont val="Calibri"/>
        <family val="2"/>
        <charset val="162"/>
        <scheme val="minor"/>
      </rPr>
      <t>2,01
2,44</t>
    </r>
  </si>
  <si>
    <r>
      <rPr>
        <sz val="9"/>
        <color rgb="FF221F1F"/>
        <rFont val="Calibri"/>
        <family val="2"/>
        <charset val="162"/>
        <scheme val="minor"/>
      </rPr>
      <t>5,02
6,00</t>
    </r>
  </si>
  <si>
    <r>
      <rPr>
        <sz val="9"/>
        <color rgb="FF221F1F"/>
        <rFont val="Calibri"/>
        <family val="2"/>
        <charset val="162"/>
        <scheme val="minor"/>
      </rPr>
      <t>2,98
3,56</t>
    </r>
  </si>
  <si>
    <r>
      <rPr>
        <sz val="9"/>
        <color rgb="FF221F1F"/>
        <rFont val="Calibri"/>
        <family val="2"/>
        <charset val="162"/>
        <scheme val="minor"/>
      </rPr>
      <t>33,7
42,4</t>
    </r>
  </si>
  <si>
    <r>
      <rPr>
        <sz val="9"/>
        <color rgb="FF221F1F"/>
        <rFont val="Calibri"/>
        <family val="2"/>
        <charset val="162"/>
        <scheme val="minor"/>
      </rPr>
      <t>2,27
1,99</t>
    </r>
  </si>
  <si>
    <r>
      <rPr>
        <sz val="9"/>
        <color rgb="FF221F1F"/>
        <rFont val="Calibri"/>
        <family val="2"/>
        <charset val="162"/>
        <scheme val="minor"/>
      </rPr>
      <t>2,89
2,54</t>
    </r>
  </si>
  <si>
    <r>
      <rPr>
        <sz val="9"/>
        <color rgb="FF221F1F"/>
        <rFont val="Calibri"/>
        <family val="2"/>
        <charset val="162"/>
        <scheme val="minor"/>
      </rPr>
      <t>0,106
0,133</t>
    </r>
  </si>
  <si>
    <r>
      <rPr>
        <sz val="9"/>
        <color rgb="FF221F1F"/>
        <rFont val="Calibri"/>
        <family val="2"/>
        <charset val="162"/>
        <scheme val="minor"/>
      </rPr>
      <t>3,44
5,19</t>
    </r>
  </si>
  <si>
    <r>
      <rPr>
        <sz val="9"/>
        <color rgb="FF221F1F"/>
        <rFont val="Calibri"/>
        <family val="2"/>
        <charset val="162"/>
        <scheme val="minor"/>
      </rPr>
      <t>1,09
1,43</t>
    </r>
  </si>
  <si>
    <r>
      <rPr>
        <sz val="9"/>
        <color rgb="FF221F1F"/>
        <rFont val="Calibri"/>
        <family val="2"/>
        <charset val="162"/>
        <scheme val="minor"/>
      </rPr>
      <t>2,04
2,45</t>
    </r>
  </si>
  <si>
    <r>
      <rPr>
        <sz val="9"/>
        <color rgb="FF221F1F"/>
        <rFont val="Calibri"/>
        <family val="2"/>
        <charset val="162"/>
        <scheme val="minor"/>
      </rPr>
      <t>2,84
3,27</t>
    </r>
  </si>
  <si>
    <r>
      <rPr>
        <sz val="9"/>
        <color rgb="FF221F1F"/>
        <rFont val="Calibri"/>
        <family val="2"/>
        <charset val="162"/>
        <scheme val="minor"/>
      </rPr>
      <t>6,88
10,4</t>
    </r>
  </si>
  <si>
    <r>
      <rPr>
        <sz val="9"/>
        <color rgb="FF221F1F"/>
        <rFont val="Calibri"/>
        <family val="2"/>
        <charset val="162"/>
        <scheme val="minor"/>
      </rPr>
      <t>4,08
4,90</t>
    </r>
  </si>
  <si>
    <r>
      <rPr>
        <sz val="9"/>
        <color rgb="FF221F1F"/>
        <rFont val="Calibri"/>
        <family val="2"/>
        <charset val="162"/>
        <scheme val="minor"/>
      </rPr>
      <t>42,4
42,4</t>
    </r>
  </si>
  <si>
    <r>
      <rPr>
        <sz val="9"/>
        <color rgb="FF221F1F"/>
        <rFont val="Calibri"/>
        <family val="2"/>
        <charset val="162"/>
        <scheme val="minor"/>
      </rPr>
      <t>2,46
2,91</t>
    </r>
  </si>
  <si>
    <r>
      <rPr>
        <sz val="9"/>
        <color rgb="FF221F1F"/>
        <rFont val="Calibri"/>
        <family val="2"/>
        <charset val="162"/>
        <scheme val="minor"/>
      </rPr>
      <t>3,13
3,71</t>
    </r>
  </si>
  <si>
    <r>
      <rPr>
        <sz val="9"/>
        <color rgb="FF221F1F"/>
        <rFont val="Calibri"/>
        <family val="2"/>
        <charset val="162"/>
        <scheme val="minor"/>
      </rPr>
      <t>0,133
0,133</t>
    </r>
  </si>
  <si>
    <r>
      <rPr>
        <sz val="9"/>
        <color rgb="FF221F1F"/>
        <rFont val="Calibri"/>
        <family val="2"/>
        <charset val="162"/>
        <scheme val="minor"/>
      </rPr>
      <t>6,26
7,25</t>
    </r>
  </si>
  <si>
    <r>
      <rPr>
        <sz val="9"/>
        <color rgb="FF221F1F"/>
        <rFont val="Calibri"/>
        <family val="2"/>
        <charset val="162"/>
        <scheme val="minor"/>
      </rPr>
      <t>1,41
1,40</t>
    </r>
  </si>
  <si>
    <r>
      <rPr>
        <sz val="9"/>
        <color rgb="FF221F1F"/>
        <rFont val="Calibri"/>
        <family val="2"/>
        <charset val="162"/>
        <scheme val="minor"/>
      </rPr>
      <t>2,95
3,42</t>
    </r>
  </si>
  <si>
    <r>
      <rPr>
        <sz val="9"/>
        <color rgb="FF221F1F"/>
        <rFont val="Calibri"/>
        <family val="2"/>
        <charset val="162"/>
        <scheme val="minor"/>
      </rPr>
      <t>3,99
4,67</t>
    </r>
  </si>
  <si>
    <r>
      <rPr>
        <sz val="9"/>
        <color rgb="FF221F1F"/>
        <rFont val="Calibri"/>
        <family val="2"/>
        <charset val="162"/>
        <scheme val="minor"/>
      </rPr>
      <t>12,5
14,5</t>
    </r>
  </si>
  <si>
    <r>
      <rPr>
        <sz val="9"/>
        <color rgb="FF221F1F"/>
        <rFont val="Calibri"/>
        <family val="2"/>
        <charset val="162"/>
        <scheme val="minor"/>
      </rPr>
      <t>5,91
6,84</t>
    </r>
  </si>
  <si>
    <r>
      <rPr>
        <sz val="9"/>
        <color rgb="FF221F1F"/>
        <rFont val="Calibri"/>
        <family val="2"/>
        <charset val="162"/>
        <scheme val="minor"/>
      </rPr>
      <t>42,4
48,3</t>
    </r>
  </si>
  <si>
    <r>
      <rPr>
        <sz val="9"/>
        <color rgb="FF221F1F"/>
        <rFont val="Calibri"/>
        <family val="2"/>
        <charset val="162"/>
        <scheme val="minor"/>
      </rPr>
      <t>* 4,0
* 2,0</t>
    </r>
  </si>
  <si>
    <r>
      <rPr>
        <sz val="9"/>
        <color rgb="FF221F1F"/>
        <rFont val="Calibri"/>
        <family val="2"/>
        <charset val="162"/>
        <scheme val="minor"/>
      </rPr>
      <t>3,79
2,28</t>
    </r>
  </si>
  <si>
    <r>
      <rPr>
        <sz val="9"/>
        <color rgb="FF221F1F"/>
        <rFont val="Calibri"/>
        <family val="2"/>
        <charset val="162"/>
        <scheme val="minor"/>
      </rPr>
      <t>4,83
2,91</t>
    </r>
  </si>
  <si>
    <r>
      <rPr>
        <sz val="9"/>
        <color rgb="FF221F1F"/>
        <rFont val="Calibri"/>
        <family val="2"/>
        <charset val="162"/>
        <scheme val="minor"/>
      </rPr>
      <t>0,133
0,152</t>
    </r>
  </si>
  <si>
    <r>
      <rPr>
        <sz val="9"/>
        <color rgb="FF221F1F"/>
        <rFont val="Calibri"/>
        <family val="2"/>
        <charset val="162"/>
        <scheme val="minor"/>
      </rPr>
      <t>8,99
7,81</t>
    </r>
  </si>
  <si>
    <r>
      <rPr>
        <sz val="9"/>
        <color rgb="FF221F1F"/>
        <rFont val="Calibri"/>
        <family val="2"/>
        <charset val="162"/>
        <scheme val="minor"/>
      </rPr>
      <t>1,36
1,64</t>
    </r>
  </si>
  <si>
    <r>
      <rPr>
        <sz val="9"/>
        <color rgb="FF221F1F"/>
        <rFont val="Calibri"/>
        <family val="2"/>
        <charset val="162"/>
        <scheme val="minor"/>
      </rPr>
      <t>4,24
3,23</t>
    </r>
  </si>
  <si>
    <r>
      <rPr>
        <sz val="9"/>
        <color rgb="FF221F1F"/>
        <rFont val="Calibri"/>
        <family val="2"/>
        <charset val="162"/>
        <scheme val="minor"/>
      </rPr>
      <t>5,92
4,29</t>
    </r>
  </si>
  <si>
    <r>
      <rPr>
        <sz val="9"/>
        <color rgb="FF221F1F"/>
        <rFont val="Calibri"/>
        <family val="2"/>
        <charset val="162"/>
        <scheme val="minor"/>
      </rPr>
      <t>18,0
15,6</t>
    </r>
  </si>
  <si>
    <r>
      <rPr>
        <sz val="9"/>
        <color rgb="FF221F1F"/>
        <rFont val="Calibri"/>
        <family val="2"/>
        <charset val="162"/>
        <scheme val="minor"/>
      </rPr>
      <t>8,48
6,47</t>
    </r>
  </si>
  <si>
    <r>
      <rPr>
        <sz val="9"/>
        <color rgb="FF221F1F"/>
        <rFont val="Calibri"/>
        <family val="2"/>
        <charset val="162"/>
        <scheme val="minor"/>
      </rPr>
      <t>48,3
48,3</t>
    </r>
  </si>
  <si>
    <r>
      <rPr>
        <sz val="9"/>
        <color rgb="FF221F1F"/>
        <rFont val="Calibri"/>
        <family val="2"/>
        <charset val="162"/>
        <scheme val="minor"/>
      </rPr>
      <t>2,82
3,35</t>
    </r>
  </si>
  <si>
    <r>
      <rPr>
        <sz val="9"/>
        <color rgb="FF221F1F"/>
        <rFont val="Calibri"/>
        <family val="2"/>
        <charset val="162"/>
        <scheme val="minor"/>
      </rPr>
      <t>3,60
4,27</t>
    </r>
  </si>
  <si>
    <r>
      <rPr>
        <sz val="9"/>
        <color rgb="FF221F1F"/>
        <rFont val="Calibri"/>
        <family val="2"/>
        <charset val="162"/>
        <scheme val="minor"/>
      </rPr>
      <t>0,152
0,152</t>
    </r>
  </si>
  <si>
    <r>
      <rPr>
        <sz val="9"/>
        <color rgb="FF221F1F"/>
        <rFont val="Calibri"/>
        <family val="2"/>
        <charset val="162"/>
        <scheme val="minor"/>
      </rPr>
      <t>9,46
11,0</t>
    </r>
  </si>
  <si>
    <r>
      <rPr>
        <sz val="9"/>
        <color rgb="FF221F1F"/>
        <rFont val="Calibri"/>
        <family val="2"/>
        <charset val="162"/>
        <scheme val="minor"/>
      </rPr>
      <t>1,62
1,61</t>
    </r>
  </si>
  <si>
    <r>
      <rPr>
        <sz val="9"/>
        <color rgb="FF221F1F"/>
        <rFont val="Calibri"/>
        <family val="2"/>
        <charset val="162"/>
        <scheme val="minor"/>
      </rPr>
      <t>3,92
4,55</t>
    </r>
  </si>
  <si>
    <r>
      <rPr>
        <sz val="9"/>
        <color rgb="FF221F1F"/>
        <rFont val="Calibri"/>
        <family val="2"/>
        <charset val="162"/>
        <scheme val="minor"/>
      </rPr>
      <t>5,25
6,17</t>
    </r>
  </si>
  <si>
    <r>
      <rPr>
        <sz val="9"/>
        <color rgb="FF221F1F"/>
        <rFont val="Calibri"/>
        <family val="2"/>
        <charset val="162"/>
        <scheme val="minor"/>
      </rPr>
      <t>18,9
22,0</t>
    </r>
  </si>
  <si>
    <r>
      <rPr>
        <sz val="9"/>
        <color rgb="FF221F1F"/>
        <rFont val="Calibri"/>
        <family val="2"/>
        <charset val="162"/>
        <scheme val="minor"/>
      </rPr>
      <t>7,83
9,11</t>
    </r>
  </si>
  <si>
    <r>
      <rPr>
        <sz val="9"/>
        <color rgb="FF221F1F"/>
        <rFont val="Calibri"/>
        <family val="2"/>
        <charset val="162"/>
        <scheme val="minor"/>
      </rPr>
      <t>* 4,0
5,0</t>
    </r>
  </si>
  <si>
    <r>
      <rPr>
        <sz val="9"/>
        <color rgb="FF221F1F"/>
        <rFont val="Calibri"/>
        <family val="2"/>
        <charset val="162"/>
        <scheme val="minor"/>
      </rPr>
      <t>4,37
5,34</t>
    </r>
  </si>
  <si>
    <r>
      <rPr>
        <sz val="9"/>
        <color rgb="FF221F1F"/>
        <rFont val="Calibri"/>
        <family val="2"/>
        <charset val="162"/>
        <scheme val="minor"/>
      </rPr>
      <t>5,57
6,80</t>
    </r>
  </si>
  <si>
    <r>
      <rPr>
        <sz val="9"/>
        <color rgb="FF221F1F"/>
        <rFont val="Calibri"/>
        <family val="2"/>
        <charset val="162"/>
        <scheme val="minor"/>
      </rPr>
      <t>13,8
16,2</t>
    </r>
  </si>
  <si>
    <r>
      <rPr>
        <sz val="9"/>
        <color rgb="FF221F1F"/>
        <rFont val="Calibri"/>
        <family val="2"/>
        <charset val="162"/>
        <scheme val="minor"/>
      </rPr>
      <t>1,57
1,54</t>
    </r>
  </si>
  <si>
    <r>
      <rPr>
        <sz val="9"/>
        <color rgb="FF221F1F"/>
        <rFont val="Calibri"/>
        <family val="2"/>
        <charset val="162"/>
        <scheme val="minor"/>
      </rPr>
      <t>5,70
6,69</t>
    </r>
  </si>
  <si>
    <r>
      <rPr>
        <sz val="9"/>
        <color rgb="FF221F1F"/>
        <rFont val="Calibri"/>
        <family val="2"/>
        <charset val="162"/>
        <scheme val="minor"/>
      </rPr>
      <t>7,87
9,42</t>
    </r>
  </si>
  <si>
    <r>
      <rPr>
        <sz val="9"/>
        <color rgb="FF221F1F"/>
        <rFont val="Calibri"/>
        <family val="2"/>
        <charset val="162"/>
        <scheme val="minor"/>
      </rPr>
      <t>27,5
32,3</t>
    </r>
  </si>
  <si>
    <r>
      <rPr>
        <sz val="9"/>
        <color rgb="FF221F1F"/>
        <rFont val="Calibri"/>
        <family val="2"/>
        <charset val="162"/>
        <scheme val="minor"/>
      </rPr>
      <t>11,4
13,4</t>
    </r>
  </si>
  <si>
    <r>
      <rPr>
        <sz val="9"/>
        <color rgb="FF221F1F"/>
        <rFont val="Calibri"/>
        <family val="2"/>
        <charset val="162"/>
        <scheme val="minor"/>
      </rPr>
      <t>60,3
60,3</t>
    </r>
  </si>
  <si>
    <r>
      <rPr>
        <sz val="9"/>
        <color rgb="FF221F1F"/>
        <rFont val="Calibri"/>
        <family val="2"/>
        <charset val="162"/>
        <scheme val="minor"/>
      </rPr>
      <t>2,88
3,56</t>
    </r>
  </si>
  <si>
    <r>
      <rPr>
        <sz val="9"/>
        <color rgb="FF221F1F"/>
        <rFont val="Calibri"/>
        <family val="2"/>
        <charset val="162"/>
        <scheme val="minor"/>
      </rPr>
      <t>3,66
4,54</t>
    </r>
  </si>
  <si>
    <r>
      <rPr>
        <sz val="9"/>
        <color rgb="FF221F1F"/>
        <rFont val="Calibri"/>
        <family val="2"/>
        <charset val="162"/>
        <scheme val="minor"/>
      </rPr>
      <t>0,189
0,189</t>
    </r>
  </si>
  <si>
    <r>
      <rPr>
        <sz val="9"/>
        <color rgb="FF221F1F"/>
        <rFont val="Calibri"/>
        <family val="2"/>
        <charset val="162"/>
        <scheme val="minor"/>
      </rPr>
      <t>15,6
19,0</t>
    </r>
  </si>
  <si>
    <r>
      <rPr>
        <sz val="9"/>
        <color rgb="FF221F1F"/>
        <rFont val="Calibri"/>
        <family val="2"/>
        <charset val="162"/>
        <scheme val="minor"/>
      </rPr>
      <t>2,06
2,05</t>
    </r>
  </si>
  <si>
    <r>
      <rPr>
        <sz val="9"/>
        <color rgb="FF221F1F"/>
        <rFont val="Calibri"/>
        <family val="2"/>
        <charset val="162"/>
        <scheme val="minor"/>
      </rPr>
      <t>5,17
6,30</t>
    </r>
  </si>
  <si>
    <r>
      <rPr>
        <sz val="9"/>
        <color rgb="FF221F1F"/>
        <rFont val="Calibri"/>
        <family val="2"/>
        <charset val="162"/>
        <scheme val="minor"/>
      </rPr>
      <t>6,80
8,36</t>
    </r>
  </si>
  <si>
    <r>
      <rPr>
        <sz val="9"/>
        <color rgb="FF221F1F"/>
        <rFont val="Calibri"/>
        <family val="2"/>
        <charset val="162"/>
        <scheme val="minor"/>
      </rPr>
      <t>31,2
38,0</t>
    </r>
  </si>
  <si>
    <r>
      <rPr>
        <sz val="9"/>
        <color rgb="FF221F1F"/>
        <rFont val="Calibri"/>
        <family val="2"/>
        <charset val="162"/>
        <scheme val="minor"/>
      </rPr>
      <t>10,3
12,6</t>
    </r>
  </si>
  <si>
    <r>
      <rPr>
        <sz val="9"/>
        <color rgb="FF221F1F"/>
        <rFont val="Calibri"/>
        <family val="2"/>
        <charset val="162"/>
        <scheme val="minor"/>
      </rPr>
      <t>* 3,0
* 4,0</t>
    </r>
  </si>
  <si>
    <r>
      <rPr>
        <sz val="9"/>
        <color rgb="FF221F1F"/>
        <rFont val="Calibri"/>
        <family val="2"/>
        <charset val="162"/>
        <scheme val="minor"/>
      </rPr>
      <t>4,24
5,55</t>
    </r>
  </si>
  <si>
    <r>
      <rPr>
        <sz val="9"/>
        <color rgb="FF221F1F"/>
        <rFont val="Calibri"/>
        <family val="2"/>
        <charset val="162"/>
        <scheme val="minor"/>
      </rPr>
      <t>5,40
7,07</t>
    </r>
  </si>
  <si>
    <r>
      <rPr>
        <sz val="9"/>
        <color rgb="FF221F1F"/>
        <rFont val="Calibri"/>
        <family val="2"/>
        <charset val="162"/>
        <scheme val="minor"/>
      </rPr>
      <t>22,2
28,2</t>
    </r>
  </si>
  <si>
    <r>
      <rPr>
        <sz val="9"/>
        <color rgb="FF221F1F"/>
        <rFont val="Calibri"/>
        <family val="2"/>
        <charset val="162"/>
        <scheme val="minor"/>
      </rPr>
      <t>2,03
2,00</t>
    </r>
  </si>
  <si>
    <r>
      <rPr>
        <sz val="9"/>
        <color rgb="FF221F1F"/>
        <rFont val="Calibri"/>
        <family val="2"/>
        <charset val="162"/>
        <scheme val="minor"/>
      </rPr>
      <t>7,37
9,34</t>
    </r>
  </si>
  <si>
    <r>
      <rPr>
        <sz val="9"/>
        <color rgb="FF221F1F"/>
        <rFont val="Calibri"/>
        <family val="2"/>
        <charset val="162"/>
        <scheme val="minor"/>
      </rPr>
      <t>9,86
12,7</t>
    </r>
  </si>
  <si>
    <r>
      <rPr>
        <sz val="9"/>
        <color rgb="FF221F1F"/>
        <rFont val="Calibri"/>
        <family val="2"/>
        <charset val="162"/>
        <scheme val="minor"/>
      </rPr>
      <t>44,4
56,3</t>
    </r>
  </si>
  <si>
    <r>
      <rPr>
        <sz val="9"/>
        <color rgb="FF221F1F"/>
        <rFont val="Calibri"/>
        <family val="2"/>
        <charset val="162"/>
        <scheme val="minor"/>
      </rPr>
      <t>14,7
18,7</t>
    </r>
  </si>
  <si>
    <r>
      <rPr>
        <sz val="9"/>
        <color rgb="FF221F1F"/>
        <rFont val="Calibri"/>
        <family val="2"/>
        <charset val="162"/>
        <scheme val="minor"/>
      </rPr>
      <t>60,3
76,1</t>
    </r>
  </si>
  <si>
    <r>
      <rPr>
        <sz val="9"/>
        <color rgb="FF221F1F"/>
        <rFont val="Calibri"/>
        <family val="2"/>
        <charset val="162"/>
        <scheme val="minor"/>
      </rPr>
      <t>* 5,0
* 2,0</t>
    </r>
  </si>
  <si>
    <r>
      <rPr>
        <sz val="9"/>
        <color rgb="FF221F1F"/>
        <rFont val="Calibri"/>
        <family val="2"/>
        <charset val="162"/>
        <scheme val="minor"/>
      </rPr>
      <t>6,82
3,65</t>
    </r>
  </si>
  <si>
    <r>
      <rPr>
        <sz val="9"/>
        <color rgb="FF221F1F"/>
        <rFont val="Calibri"/>
        <family val="2"/>
        <charset val="162"/>
        <scheme val="minor"/>
      </rPr>
      <t>8,69
4,66</t>
    </r>
  </si>
  <si>
    <r>
      <rPr>
        <sz val="9"/>
        <color rgb="FF221F1F"/>
        <rFont val="Calibri"/>
        <family val="2"/>
        <charset val="162"/>
        <scheme val="minor"/>
      </rPr>
      <t>0,189
0,239</t>
    </r>
  </si>
  <si>
    <r>
      <rPr>
        <sz val="9"/>
        <color rgb="FF221F1F"/>
        <rFont val="Calibri"/>
        <family val="2"/>
        <charset val="162"/>
        <scheme val="minor"/>
      </rPr>
      <t>33,5
32,0</t>
    </r>
  </si>
  <si>
    <r>
      <rPr>
        <sz val="9"/>
        <color rgb="FF221F1F"/>
        <rFont val="Calibri"/>
        <family val="2"/>
        <charset val="162"/>
        <scheme val="minor"/>
      </rPr>
      <t>1,96
2,62</t>
    </r>
  </si>
  <si>
    <r>
      <rPr>
        <sz val="9"/>
        <color rgb="FF221F1F"/>
        <rFont val="Calibri"/>
        <family val="2"/>
        <charset val="162"/>
        <scheme val="minor"/>
      </rPr>
      <t>11,1
8,40</t>
    </r>
  </si>
  <si>
    <r>
      <rPr>
        <sz val="9"/>
        <color rgb="FF221F1F"/>
        <rFont val="Calibri"/>
        <family val="2"/>
        <charset val="162"/>
        <scheme val="minor"/>
      </rPr>
      <t>15,3
11,0</t>
    </r>
  </si>
  <si>
    <r>
      <rPr>
        <sz val="9"/>
        <color rgb="FF221F1F"/>
        <rFont val="Calibri"/>
        <family val="2"/>
        <charset val="162"/>
        <scheme val="minor"/>
      </rPr>
      <t>67,0
64,0</t>
    </r>
  </si>
  <si>
    <r>
      <rPr>
        <sz val="9"/>
        <color rgb="FF221F1F"/>
        <rFont val="Calibri"/>
        <family val="2"/>
        <charset val="162"/>
        <scheme val="minor"/>
      </rPr>
      <t>22,2
16,8</t>
    </r>
  </si>
  <si>
    <r>
      <rPr>
        <sz val="9"/>
        <color rgb="FF221F1F"/>
        <rFont val="Calibri"/>
        <family val="2"/>
        <charset val="162"/>
        <scheme val="minor"/>
      </rPr>
      <t>76,1
76,1</t>
    </r>
  </si>
  <si>
    <r>
      <rPr>
        <sz val="9"/>
        <color rgb="FF221F1F"/>
        <rFont val="Calibri"/>
        <family val="2"/>
        <charset val="162"/>
        <scheme val="minor"/>
      </rPr>
      <t>4,54
5,41</t>
    </r>
  </si>
  <si>
    <r>
      <rPr>
        <sz val="9"/>
        <color rgb="FF221F1F"/>
        <rFont val="Calibri"/>
        <family val="2"/>
        <charset val="162"/>
        <scheme val="minor"/>
      </rPr>
      <t>5,78
6,89</t>
    </r>
  </si>
  <si>
    <r>
      <rPr>
        <sz val="9"/>
        <color rgb="FF221F1F"/>
        <rFont val="Calibri"/>
        <family val="2"/>
        <charset val="162"/>
        <scheme val="minor"/>
      </rPr>
      <t>0,239
0,239</t>
    </r>
  </si>
  <si>
    <r>
      <rPr>
        <sz val="9"/>
        <color rgb="FF221F1F"/>
        <rFont val="Calibri"/>
        <family val="2"/>
        <charset val="162"/>
        <scheme val="minor"/>
      </rPr>
      <t>39,2
46,1</t>
    </r>
  </si>
  <si>
    <r>
      <rPr>
        <sz val="9"/>
        <color rgb="FF221F1F"/>
        <rFont val="Calibri"/>
        <family val="2"/>
        <charset val="162"/>
        <scheme val="minor"/>
      </rPr>
      <t>2,60
2,59</t>
    </r>
  </si>
  <si>
    <r>
      <rPr>
        <sz val="9"/>
        <color rgb="FF221F1F"/>
        <rFont val="Calibri"/>
        <family val="2"/>
        <charset val="162"/>
        <scheme val="minor"/>
      </rPr>
      <t>10,3
12,1</t>
    </r>
  </si>
  <si>
    <r>
      <rPr>
        <sz val="9"/>
        <color rgb="FF221F1F"/>
        <rFont val="Calibri"/>
        <family val="2"/>
        <charset val="162"/>
        <scheme val="minor"/>
      </rPr>
      <t>13,5
16,0</t>
    </r>
  </si>
  <si>
    <r>
      <rPr>
        <sz val="9"/>
        <color rgb="FF221F1F"/>
        <rFont val="Calibri"/>
        <family val="2"/>
        <charset val="162"/>
        <scheme val="minor"/>
      </rPr>
      <t>78,4
92,2</t>
    </r>
  </si>
  <si>
    <r>
      <rPr>
        <sz val="9"/>
        <color rgb="FF221F1F"/>
        <rFont val="Calibri"/>
        <family val="2"/>
        <charset val="162"/>
        <scheme val="minor"/>
      </rPr>
      <t>20,6
24,2</t>
    </r>
  </si>
  <si>
    <r>
      <rPr>
        <sz val="9"/>
        <color rgb="FF221F1F"/>
        <rFont val="Calibri"/>
        <family val="2"/>
        <charset val="162"/>
        <scheme val="minor"/>
      </rPr>
      <t>* 4,0
* 5,0</t>
    </r>
  </si>
  <si>
    <r>
      <rPr>
        <sz val="9"/>
        <color rgb="FF221F1F"/>
        <rFont val="Calibri"/>
        <family val="2"/>
        <charset val="162"/>
        <scheme val="minor"/>
      </rPr>
      <t>7,11
8,77</t>
    </r>
  </si>
  <si>
    <r>
      <rPr>
        <sz val="9"/>
        <color rgb="FF221F1F"/>
        <rFont val="Calibri"/>
        <family val="2"/>
        <charset val="162"/>
        <scheme val="minor"/>
      </rPr>
      <t>9,06
11,2</t>
    </r>
  </si>
  <si>
    <r>
      <rPr>
        <sz val="9"/>
        <color rgb="FF221F1F"/>
        <rFont val="Calibri"/>
        <family val="2"/>
        <charset val="162"/>
        <scheme val="minor"/>
      </rPr>
      <t>59,1
70,9</t>
    </r>
  </si>
  <si>
    <r>
      <rPr>
        <sz val="9"/>
        <color rgb="FF221F1F"/>
        <rFont val="Calibri"/>
        <family val="2"/>
        <charset val="162"/>
        <scheme val="minor"/>
      </rPr>
      <t>2,55
2,52</t>
    </r>
  </si>
  <si>
    <r>
      <rPr>
        <sz val="9"/>
        <color rgb="FF221F1F"/>
        <rFont val="Calibri"/>
        <family val="2"/>
        <charset val="162"/>
        <scheme val="minor"/>
      </rPr>
      <t>15,5
18,6</t>
    </r>
  </si>
  <si>
    <r>
      <rPr>
        <sz val="9"/>
        <color rgb="FF221F1F"/>
        <rFont val="Calibri"/>
        <family val="2"/>
        <charset val="162"/>
        <scheme val="minor"/>
      </rPr>
      <t>20,8
25,3</t>
    </r>
  </si>
  <si>
    <r>
      <rPr>
        <sz val="9"/>
        <color rgb="FF221F1F"/>
        <rFont val="Calibri"/>
        <family val="2"/>
        <charset val="162"/>
        <scheme val="minor"/>
      </rPr>
      <t>118
142</t>
    </r>
  </si>
  <si>
    <r>
      <rPr>
        <sz val="9"/>
        <color rgb="FF221F1F"/>
        <rFont val="Calibri"/>
        <family val="2"/>
        <charset val="162"/>
        <scheme val="minor"/>
      </rPr>
      <t>31,0
37,3</t>
    </r>
  </si>
  <si>
    <r>
      <rPr>
        <sz val="9"/>
        <color rgb="FF221F1F"/>
        <rFont val="Calibri"/>
        <family val="2"/>
        <charset val="162"/>
        <scheme val="minor"/>
      </rPr>
      <t>88,9
88,9</t>
    </r>
  </si>
  <si>
    <r>
      <rPr>
        <sz val="9"/>
        <color rgb="FF221F1F"/>
        <rFont val="Calibri"/>
        <family val="2"/>
        <charset val="162"/>
        <scheme val="minor"/>
      </rPr>
      <t>4,29
5,33</t>
    </r>
  </si>
  <si>
    <r>
      <rPr>
        <sz val="9"/>
        <color rgb="FF221F1F"/>
        <rFont val="Calibri"/>
        <family val="2"/>
        <charset val="162"/>
        <scheme val="minor"/>
      </rPr>
      <t>5,46
6,79</t>
    </r>
  </si>
  <si>
    <r>
      <rPr>
        <sz val="9"/>
        <color rgb="FF221F1F"/>
        <rFont val="Calibri"/>
        <family val="2"/>
        <charset val="162"/>
        <scheme val="minor"/>
      </rPr>
      <t>0,279
0,279</t>
    </r>
  </si>
  <si>
    <r>
      <rPr>
        <sz val="9"/>
        <color rgb="FF221F1F"/>
        <rFont val="Calibri"/>
        <family val="2"/>
        <charset val="162"/>
        <scheme val="minor"/>
      </rPr>
      <t>51,6
63,4</t>
    </r>
  </si>
  <si>
    <r>
      <rPr>
        <sz val="9"/>
        <color rgb="FF221F1F"/>
        <rFont val="Calibri"/>
        <family val="2"/>
        <charset val="162"/>
        <scheme val="minor"/>
      </rPr>
      <t>3,07
3,06</t>
    </r>
  </si>
  <si>
    <r>
      <rPr>
        <sz val="9"/>
        <color rgb="FF221F1F"/>
        <rFont val="Calibri"/>
        <family val="2"/>
        <charset val="162"/>
        <scheme val="minor"/>
      </rPr>
      <t>11,6
14,3</t>
    </r>
  </si>
  <si>
    <r>
      <rPr>
        <sz val="9"/>
        <color rgb="FF221F1F"/>
        <rFont val="Calibri"/>
        <family val="2"/>
        <charset val="162"/>
        <scheme val="minor"/>
      </rPr>
      <t>15,1
18,7</t>
    </r>
  </si>
  <si>
    <r>
      <rPr>
        <sz val="9"/>
        <color rgb="FF221F1F"/>
        <rFont val="Calibri"/>
        <family val="2"/>
        <charset val="162"/>
        <scheme val="minor"/>
      </rPr>
      <t>103
127</t>
    </r>
  </si>
  <si>
    <r>
      <rPr>
        <sz val="9"/>
        <color rgb="FF221F1F"/>
        <rFont val="Calibri"/>
        <family val="2"/>
        <charset val="162"/>
        <scheme val="minor"/>
      </rPr>
      <t>23,2
28,5</t>
    </r>
  </si>
  <si>
    <r>
      <rPr>
        <sz val="9"/>
        <color rgb="FF221F1F"/>
        <rFont val="Calibri"/>
        <family val="2"/>
        <charset val="162"/>
        <scheme val="minor"/>
      </rPr>
      <t>6,36
8,38</t>
    </r>
  </si>
  <si>
    <r>
      <rPr>
        <sz val="9"/>
        <color rgb="FF221F1F"/>
        <rFont val="Calibri"/>
        <family val="2"/>
        <charset val="162"/>
        <scheme val="minor"/>
      </rPr>
      <t>8,10
10,7</t>
    </r>
  </si>
  <si>
    <r>
      <rPr>
        <sz val="9"/>
        <color rgb="FF221F1F"/>
        <rFont val="Calibri"/>
        <family val="2"/>
        <charset val="162"/>
        <scheme val="minor"/>
      </rPr>
      <t>74,8
96,3</t>
    </r>
  </si>
  <si>
    <r>
      <rPr>
        <sz val="9"/>
        <color rgb="FF221F1F"/>
        <rFont val="Calibri"/>
        <family val="2"/>
        <charset val="162"/>
        <scheme val="minor"/>
      </rPr>
      <t>3,04
3,00</t>
    </r>
  </si>
  <si>
    <r>
      <rPr>
        <sz val="9"/>
        <color rgb="FF221F1F"/>
        <rFont val="Calibri"/>
        <family val="2"/>
        <charset val="162"/>
        <scheme val="minor"/>
      </rPr>
      <t>16,8
21,7</t>
    </r>
  </si>
  <si>
    <r>
      <rPr>
        <sz val="9"/>
        <color rgb="FF221F1F"/>
        <rFont val="Calibri"/>
        <family val="2"/>
        <charset val="162"/>
        <scheme val="minor"/>
      </rPr>
      <t>22,1
28,9</t>
    </r>
  </si>
  <si>
    <r>
      <rPr>
        <sz val="9"/>
        <color rgb="FF221F1F"/>
        <rFont val="Calibri"/>
        <family val="2"/>
        <charset val="162"/>
        <scheme val="minor"/>
      </rPr>
      <t>150
193</t>
    </r>
  </si>
  <si>
    <r>
      <rPr>
        <sz val="9"/>
        <color rgb="FF221F1F"/>
        <rFont val="Calibri"/>
        <family val="2"/>
        <charset val="162"/>
        <scheme val="minor"/>
      </rPr>
      <t>33,6
43,3</t>
    </r>
  </si>
  <si>
    <r>
      <rPr>
        <sz val="9"/>
        <color rgb="FF221F1F"/>
        <rFont val="Calibri"/>
        <family val="2"/>
        <charset val="162"/>
        <scheme val="minor"/>
      </rPr>
      <t>* 5,0
* 6,0</t>
    </r>
  </si>
  <si>
    <r>
      <rPr>
        <sz val="9"/>
        <color rgb="FF221F1F"/>
        <rFont val="Calibri"/>
        <family val="2"/>
        <charset val="162"/>
        <scheme val="minor"/>
      </rPr>
      <t>10,30
12,30</t>
    </r>
  </si>
  <si>
    <r>
      <rPr>
        <sz val="9"/>
        <color rgb="FF221F1F"/>
        <rFont val="Calibri"/>
        <family val="2"/>
        <charset val="162"/>
        <scheme val="minor"/>
      </rPr>
      <t>13,2
15,6</t>
    </r>
  </si>
  <si>
    <r>
      <rPr>
        <sz val="9"/>
        <color rgb="FF221F1F"/>
        <rFont val="Calibri"/>
        <family val="2"/>
        <charset val="162"/>
        <scheme val="minor"/>
      </rPr>
      <t>116
135</t>
    </r>
  </si>
  <si>
    <r>
      <rPr>
        <sz val="9"/>
        <color rgb="FF221F1F"/>
        <rFont val="Calibri"/>
        <family val="2"/>
        <charset val="162"/>
        <scheme val="minor"/>
      </rPr>
      <t>2,97
2,94</t>
    </r>
  </si>
  <si>
    <r>
      <rPr>
        <sz val="9"/>
        <color rgb="FF221F1F"/>
        <rFont val="Calibri"/>
        <family val="2"/>
        <charset val="162"/>
        <scheme val="minor"/>
      </rPr>
      <t>26,2
30,4</t>
    </r>
  </si>
  <si>
    <r>
      <rPr>
        <sz val="9"/>
        <color rgb="FF221F1F"/>
        <rFont val="Calibri"/>
        <family val="2"/>
        <charset val="162"/>
        <scheme val="minor"/>
      </rPr>
      <t>35,2
41,3</t>
    </r>
  </si>
  <si>
    <r>
      <rPr>
        <sz val="9"/>
        <color rgb="FF221F1F"/>
        <rFont val="Calibri"/>
        <family val="2"/>
        <charset val="162"/>
        <scheme val="minor"/>
      </rPr>
      <t>233
270</t>
    </r>
  </si>
  <si>
    <r>
      <rPr>
        <sz val="9"/>
        <color rgb="FF221F1F"/>
        <rFont val="Calibri"/>
        <family val="2"/>
        <charset val="162"/>
        <scheme val="minor"/>
      </rPr>
      <t>52,4
60,7</t>
    </r>
  </si>
  <si>
    <r>
      <rPr>
        <sz val="9"/>
        <color rgb="FF221F1F"/>
        <rFont val="Calibri"/>
        <family val="2"/>
        <charset val="162"/>
        <scheme val="minor"/>
      </rPr>
      <t>88,9
101,6</t>
    </r>
  </si>
  <si>
    <r>
      <rPr>
        <sz val="9"/>
        <color rgb="FF221F1F"/>
        <rFont val="Calibri"/>
        <family val="2"/>
        <charset val="162"/>
        <scheme val="minor"/>
      </rPr>
      <t>* 6,3
2,0</t>
    </r>
  </si>
  <si>
    <r>
      <rPr>
        <sz val="9"/>
        <color rgb="FF221F1F"/>
        <rFont val="Calibri"/>
        <family val="2"/>
        <charset val="162"/>
        <scheme val="minor"/>
      </rPr>
      <t>12,80
4,91</t>
    </r>
  </si>
  <si>
    <r>
      <rPr>
        <sz val="9"/>
        <color rgb="FF221F1F"/>
        <rFont val="Calibri"/>
        <family val="2"/>
        <charset val="162"/>
        <scheme val="minor"/>
      </rPr>
      <t>16,3
6,26</t>
    </r>
  </si>
  <si>
    <r>
      <rPr>
        <sz val="9"/>
        <color rgb="FF221F1F"/>
        <rFont val="Calibri"/>
        <family val="2"/>
        <charset val="162"/>
        <scheme val="minor"/>
      </rPr>
      <t>0,279
0,319</t>
    </r>
  </si>
  <si>
    <r>
      <rPr>
        <sz val="9"/>
        <color rgb="FF221F1F"/>
        <rFont val="Calibri"/>
        <family val="2"/>
        <charset val="162"/>
        <scheme val="minor"/>
      </rPr>
      <t>140
77,6</t>
    </r>
  </si>
  <si>
    <r>
      <rPr>
        <sz val="9"/>
        <color rgb="FF221F1F"/>
        <rFont val="Calibri"/>
        <family val="2"/>
        <charset val="162"/>
        <scheme val="minor"/>
      </rPr>
      <t>2,93
3,52</t>
    </r>
  </si>
  <si>
    <r>
      <rPr>
        <sz val="9"/>
        <color rgb="FF221F1F"/>
        <rFont val="Calibri"/>
        <family val="2"/>
        <charset val="162"/>
        <scheme val="minor"/>
      </rPr>
      <t>31,5
15,3</t>
    </r>
  </si>
  <si>
    <r>
      <rPr>
        <sz val="9"/>
        <color rgb="FF221F1F"/>
        <rFont val="Calibri"/>
        <family val="2"/>
        <charset val="162"/>
        <scheme val="minor"/>
      </rPr>
      <t>43,1
19,8</t>
    </r>
  </si>
  <si>
    <r>
      <rPr>
        <sz val="9"/>
        <color rgb="FF221F1F"/>
        <rFont val="Calibri"/>
        <family val="2"/>
        <charset val="162"/>
        <scheme val="minor"/>
      </rPr>
      <t>280
155</t>
    </r>
  </si>
  <si>
    <r>
      <rPr>
        <sz val="9"/>
        <color rgb="FF221F1F"/>
        <rFont val="Calibri"/>
        <family val="2"/>
        <charset val="162"/>
        <scheme val="minor"/>
      </rPr>
      <t>63,1
30,6</t>
    </r>
  </si>
  <si>
    <r>
      <rPr>
        <sz val="9"/>
        <color rgb="FF221F1F"/>
        <rFont val="Calibri"/>
        <family val="2"/>
        <charset val="162"/>
        <scheme val="minor"/>
      </rPr>
      <t>101,6
101,6</t>
    </r>
  </si>
  <si>
    <r>
      <rPr>
        <sz val="9"/>
        <color rgb="FF221F1F"/>
        <rFont val="Calibri"/>
        <family val="2"/>
        <charset val="162"/>
        <scheme val="minor"/>
      </rPr>
      <t>2,5
3,0</t>
    </r>
  </si>
  <si>
    <r>
      <rPr>
        <sz val="9"/>
        <color rgb="FF221F1F"/>
        <rFont val="Calibri"/>
        <family val="2"/>
        <charset val="162"/>
        <scheme val="minor"/>
      </rPr>
      <t>6,11
7,29</t>
    </r>
  </si>
  <si>
    <r>
      <rPr>
        <sz val="9"/>
        <color rgb="FF221F1F"/>
        <rFont val="Calibri"/>
        <family val="2"/>
        <charset val="162"/>
        <scheme val="minor"/>
      </rPr>
      <t>7,78
9,29</t>
    </r>
  </si>
  <si>
    <r>
      <rPr>
        <sz val="9"/>
        <color rgb="FF221F1F"/>
        <rFont val="Calibri"/>
        <family val="2"/>
        <charset val="162"/>
        <scheme val="minor"/>
      </rPr>
      <t>0,319
0,319</t>
    </r>
  </si>
  <si>
    <r>
      <rPr>
        <sz val="9"/>
        <color rgb="FF221F1F"/>
        <rFont val="Calibri"/>
        <family val="2"/>
        <charset val="162"/>
        <scheme val="minor"/>
      </rPr>
      <t>95,6
113</t>
    </r>
  </si>
  <si>
    <r>
      <rPr>
        <sz val="9"/>
        <color rgb="FF221F1F"/>
        <rFont val="Calibri"/>
        <family val="2"/>
        <charset val="162"/>
        <scheme val="minor"/>
      </rPr>
      <t>3,50
3,49</t>
    </r>
  </si>
  <si>
    <r>
      <rPr>
        <sz val="9"/>
        <color rgb="FF221F1F"/>
        <rFont val="Calibri"/>
        <family val="2"/>
        <charset val="162"/>
        <scheme val="minor"/>
      </rPr>
      <t>18,8
22,3</t>
    </r>
  </si>
  <si>
    <r>
      <rPr>
        <sz val="9"/>
        <color rgb="FF221F1F"/>
        <rFont val="Calibri"/>
        <family val="2"/>
        <charset val="162"/>
        <scheme val="minor"/>
      </rPr>
      <t>24,6
29,2</t>
    </r>
  </si>
  <si>
    <r>
      <rPr>
        <sz val="9"/>
        <color rgb="FF221F1F"/>
        <rFont val="Calibri"/>
        <family val="2"/>
        <charset val="162"/>
        <scheme val="minor"/>
      </rPr>
      <t>191
226</t>
    </r>
  </si>
  <si>
    <r>
      <rPr>
        <sz val="9"/>
        <color rgb="FF221F1F"/>
        <rFont val="Calibri"/>
        <family val="2"/>
        <charset val="162"/>
        <scheme val="minor"/>
      </rPr>
      <t>37,6
44,5</t>
    </r>
  </si>
  <si>
    <r>
      <rPr>
        <sz val="9"/>
        <color rgb="FF221F1F"/>
        <rFont val="Calibri"/>
        <family val="2"/>
        <charset val="162"/>
        <scheme val="minor"/>
      </rPr>
      <t>9,63
11,90</t>
    </r>
  </si>
  <si>
    <r>
      <rPr>
        <sz val="9"/>
        <color rgb="FF221F1F"/>
        <rFont val="Calibri"/>
        <family val="2"/>
        <charset val="162"/>
        <scheme val="minor"/>
      </rPr>
      <t>12,3
15,2</t>
    </r>
  </si>
  <si>
    <r>
      <rPr>
        <sz val="9"/>
        <color rgb="FF221F1F"/>
        <rFont val="Calibri"/>
        <family val="2"/>
        <charset val="162"/>
        <scheme val="minor"/>
      </rPr>
      <t>146
177</t>
    </r>
  </si>
  <si>
    <r>
      <rPr>
        <sz val="9"/>
        <color rgb="FF221F1F"/>
        <rFont val="Calibri"/>
        <family val="2"/>
        <charset val="162"/>
        <scheme val="minor"/>
      </rPr>
      <t>3,45
3,42</t>
    </r>
  </si>
  <si>
    <r>
      <rPr>
        <sz val="9"/>
        <color rgb="FF221F1F"/>
        <rFont val="Calibri"/>
        <family val="2"/>
        <charset val="162"/>
        <scheme val="minor"/>
      </rPr>
      <t>28,8
34,9</t>
    </r>
  </si>
  <si>
    <r>
      <rPr>
        <sz val="9"/>
        <color rgb="FF221F1F"/>
        <rFont val="Calibri"/>
        <family val="2"/>
        <charset val="162"/>
        <scheme val="minor"/>
      </rPr>
      <t>38,1
46,7</t>
    </r>
  </si>
  <si>
    <r>
      <rPr>
        <sz val="9"/>
        <color rgb="FF221F1F"/>
        <rFont val="Calibri"/>
        <family val="2"/>
        <charset val="162"/>
        <scheme val="minor"/>
      </rPr>
      <t>293
355</t>
    </r>
  </si>
  <si>
    <r>
      <rPr>
        <sz val="9"/>
        <color rgb="FF221F1F"/>
        <rFont val="Calibri"/>
        <family val="2"/>
        <charset val="162"/>
        <scheme val="minor"/>
      </rPr>
      <t>57,6
69,9</t>
    </r>
  </si>
  <si>
    <r>
      <rPr>
        <sz val="9"/>
        <color rgb="FF221F1F"/>
        <rFont val="Calibri"/>
        <family val="2"/>
        <charset val="162"/>
        <scheme val="minor"/>
      </rPr>
      <t>* 6,0
* 6,3</t>
    </r>
  </si>
  <si>
    <r>
      <rPr>
        <sz val="9"/>
        <color rgb="FF221F1F"/>
        <rFont val="Calibri"/>
        <family val="2"/>
        <charset val="162"/>
        <scheme val="minor"/>
      </rPr>
      <t>14,10
14,80</t>
    </r>
  </si>
  <si>
    <r>
      <rPr>
        <sz val="9"/>
        <color rgb="FF221F1F"/>
        <rFont val="Calibri"/>
        <family val="2"/>
        <charset val="162"/>
        <scheme val="minor"/>
      </rPr>
      <t>18,0
18,9</t>
    </r>
  </si>
  <si>
    <r>
      <rPr>
        <sz val="9"/>
        <color rgb="FF221F1F"/>
        <rFont val="Calibri"/>
        <family val="2"/>
        <charset val="162"/>
        <scheme val="minor"/>
      </rPr>
      <t>207
215</t>
    </r>
  </si>
  <si>
    <r>
      <rPr>
        <sz val="9"/>
        <color rgb="FF221F1F"/>
        <rFont val="Calibri"/>
        <family val="2"/>
        <charset val="162"/>
        <scheme val="minor"/>
      </rPr>
      <t>3,39
3,38</t>
    </r>
  </si>
  <si>
    <r>
      <rPr>
        <sz val="9"/>
        <color rgb="FF221F1F"/>
        <rFont val="Calibri"/>
        <family val="2"/>
        <charset val="162"/>
        <scheme val="minor"/>
      </rPr>
      <t>40,7
42,3</t>
    </r>
  </si>
  <si>
    <r>
      <rPr>
        <sz val="9"/>
        <color rgb="FF221F1F"/>
        <rFont val="Calibri"/>
        <family val="2"/>
        <charset val="162"/>
        <scheme val="minor"/>
      </rPr>
      <t>54,9
57,3</t>
    </r>
  </si>
  <si>
    <r>
      <rPr>
        <sz val="9"/>
        <color rgb="FF221F1F"/>
        <rFont val="Calibri"/>
        <family val="2"/>
        <charset val="162"/>
        <scheme val="minor"/>
      </rPr>
      <t>413
430</t>
    </r>
  </si>
  <si>
    <r>
      <rPr>
        <sz val="9"/>
        <color rgb="FF221F1F"/>
        <rFont val="Calibri"/>
        <family val="2"/>
        <charset val="162"/>
        <scheme val="minor"/>
      </rPr>
      <t>81,4
84,7</t>
    </r>
  </si>
  <si>
    <r>
      <rPr>
        <sz val="9"/>
        <color rgb="FF221F1F"/>
        <rFont val="Calibri"/>
        <family val="2"/>
        <charset val="162"/>
        <scheme val="minor"/>
      </rPr>
      <t>114,3
114,3</t>
    </r>
  </si>
  <si>
    <r>
      <rPr>
        <sz val="9"/>
        <color rgb="FF221F1F"/>
        <rFont val="Calibri"/>
        <family val="2"/>
        <charset val="162"/>
        <scheme val="minor"/>
      </rPr>
      <t>6,89
8,23</t>
    </r>
  </si>
  <si>
    <r>
      <rPr>
        <sz val="9"/>
        <color rgb="FF221F1F"/>
        <rFont val="Calibri"/>
        <family val="2"/>
        <charset val="162"/>
        <scheme val="minor"/>
      </rPr>
      <t>8,78
10,5</t>
    </r>
  </si>
  <si>
    <r>
      <rPr>
        <sz val="9"/>
        <color rgb="FF221F1F"/>
        <rFont val="Calibri"/>
        <family val="2"/>
        <charset val="162"/>
        <scheme val="minor"/>
      </rPr>
      <t>0,359
0,359</t>
    </r>
  </si>
  <si>
    <r>
      <rPr>
        <sz val="9"/>
        <color rgb="FF221F1F"/>
        <rFont val="Calibri"/>
        <family val="2"/>
        <charset val="162"/>
        <scheme val="minor"/>
      </rPr>
      <t>137
163</t>
    </r>
  </si>
  <si>
    <r>
      <rPr>
        <sz val="9"/>
        <color rgb="FF221F1F"/>
        <rFont val="Calibri"/>
        <family val="2"/>
        <charset val="162"/>
        <scheme val="minor"/>
      </rPr>
      <t>3,95
3,94</t>
    </r>
  </si>
  <si>
    <r>
      <rPr>
        <sz val="9"/>
        <color rgb="FF221F1F"/>
        <rFont val="Calibri"/>
        <family val="2"/>
        <charset val="162"/>
        <scheme val="minor"/>
      </rPr>
      <t>24,0
28,4</t>
    </r>
  </si>
  <si>
    <r>
      <rPr>
        <sz val="9"/>
        <color rgb="FF221F1F"/>
        <rFont val="Calibri"/>
        <family val="2"/>
        <charset val="162"/>
        <scheme val="minor"/>
      </rPr>
      <t>31,3
37,2</t>
    </r>
  </si>
  <si>
    <r>
      <rPr>
        <sz val="9"/>
        <color rgb="FF221F1F"/>
        <rFont val="Calibri"/>
        <family val="2"/>
        <charset val="162"/>
        <scheme val="minor"/>
      </rPr>
      <t>275
325</t>
    </r>
  </si>
  <si>
    <r>
      <rPr>
        <sz val="9"/>
        <color rgb="FF221F1F"/>
        <rFont val="Calibri"/>
        <family val="2"/>
        <charset val="162"/>
        <scheme val="minor"/>
      </rPr>
      <t>48,0
56,9</t>
    </r>
  </si>
  <si>
    <r>
      <rPr>
        <sz val="9"/>
        <color rgb="FF221F1F"/>
        <rFont val="Calibri"/>
        <family val="2"/>
        <charset val="162"/>
        <scheme val="minor"/>
      </rPr>
      <t>10,9
13,5</t>
    </r>
  </si>
  <si>
    <r>
      <rPr>
        <sz val="9"/>
        <color rgb="FF221F1F"/>
        <rFont val="Calibri"/>
        <family val="2"/>
        <charset val="162"/>
        <scheme val="minor"/>
      </rPr>
      <t>13,9
17,2</t>
    </r>
  </si>
  <si>
    <r>
      <rPr>
        <sz val="9"/>
        <color rgb="FF221F1F"/>
        <rFont val="Calibri"/>
        <family val="2"/>
        <charset val="162"/>
        <scheme val="minor"/>
      </rPr>
      <t>211
257</t>
    </r>
  </si>
  <si>
    <r>
      <rPr>
        <sz val="9"/>
        <color rgb="FF221F1F"/>
        <rFont val="Calibri"/>
        <family val="2"/>
        <charset val="162"/>
        <scheme val="minor"/>
      </rPr>
      <t>3,90
3,87</t>
    </r>
  </si>
  <si>
    <r>
      <rPr>
        <sz val="9"/>
        <color rgb="FF221F1F"/>
        <rFont val="Calibri"/>
        <family val="2"/>
        <charset val="162"/>
        <scheme val="minor"/>
      </rPr>
      <t>36,9
45,0</t>
    </r>
  </si>
  <si>
    <r>
      <rPr>
        <sz val="9"/>
        <color rgb="FF221F1F"/>
        <rFont val="Calibri"/>
        <family val="2"/>
        <charset val="162"/>
        <scheme val="minor"/>
      </rPr>
      <t>48,7
59,8</t>
    </r>
  </si>
  <si>
    <r>
      <rPr>
        <sz val="9"/>
        <color rgb="FF221F1F"/>
        <rFont val="Calibri"/>
        <family val="2"/>
        <charset val="162"/>
        <scheme val="minor"/>
      </rPr>
      <t>422
514</t>
    </r>
  </si>
  <si>
    <r>
      <rPr>
        <sz val="9"/>
        <color rgb="FF221F1F"/>
        <rFont val="Calibri"/>
        <family val="2"/>
        <charset val="162"/>
        <scheme val="minor"/>
      </rPr>
      <t>73,9
89,9</t>
    </r>
  </si>
  <si>
    <r>
      <rPr>
        <sz val="9"/>
        <color rgb="FF221F1F"/>
        <rFont val="Calibri"/>
        <family val="2"/>
        <charset val="162"/>
        <scheme val="minor"/>
      </rPr>
      <t>16,0
16,8</t>
    </r>
  </si>
  <si>
    <r>
      <rPr>
        <sz val="9"/>
        <color rgb="FF221F1F"/>
        <rFont val="Calibri"/>
        <family val="2"/>
        <charset val="162"/>
        <scheme val="minor"/>
      </rPr>
      <t>20,4
21,4</t>
    </r>
  </si>
  <si>
    <r>
      <rPr>
        <sz val="9"/>
        <color rgb="FF221F1F"/>
        <rFont val="Calibri"/>
        <family val="2"/>
        <charset val="162"/>
        <scheme val="minor"/>
      </rPr>
      <t>300
313</t>
    </r>
  </si>
  <si>
    <r>
      <rPr>
        <sz val="9"/>
        <color rgb="FF221F1F"/>
        <rFont val="Calibri"/>
        <family val="2"/>
        <charset val="162"/>
        <scheme val="minor"/>
      </rPr>
      <t>3,83
3,82</t>
    </r>
  </si>
  <si>
    <r>
      <rPr>
        <sz val="9"/>
        <color rgb="FF221F1F"/>
        <rFont val="Calibri"/>
        <family val="2"/>
        <charset val="162"/>
        <scheme val="minor"/>
      </rPr>
      <t>52,5
54,7</t>
    </r>
  </si>
  <si>
    <r>
      <rPr>
        <sz val="9"/>
        <color rgb="FF221F1F"/>
        <rFont val="Calibri"/>
        <family val="2"/>
        <charset val="162"/>
        <scheme val="minor"/>
      </rPr>
      <t>70,4
73,6</t>
    </r>
  </si>
  <si>
    <r>
      <rPr>
        <sz val="9"/>
        <color rgb="FF221F1F"/>
        <rFont val="Calibri"/>
        <family val="2"/>
        <charset val="162"/>
        <scheme val="minor"/>
      </rPr>
      <t>600
625</t>
    </r>
  </si>
  <si>
    <r>
      <rPr>
        <sz val="9"/>
        <color rgb="FF221F1F"/>
        <rFont val="Calibri"/>
        <family val="2"/>
        <charset val="162"/>
        <scheme val="minor"/>
      </rPr>
      <t>105
109</t>
    </r>
  </si>
  <si>
    <r>
      <rPr>
        <sz val="9"/>
        <color rgb="FF221F1F"/>
        <rFont val="Calibri"/>
        <family val="2"/>
        <charset val="162"/>
        <scheme val="minor"/>
      </rPr>
      <t>114,3
139,7</t>
    </r>
  </si>
  <si>
    <r>
      <rPr>
        <sz val="9"/>
        <color rgb="FF221F1F"/>
        <rFont val="Calibri"/>
        <family val="2"/>
        <charset val="162"/>
        <scheme val="minor"/>
      </rPr>
      <t>8,0
3,0</t>
    </r>
  </si>
  <si>
    <r>
      <rPr>
        <sz val="9"/>
        <color rgb="FF221F1F"/>
        <rFont val="Calibri"/>
        <family val="2"/>
        <charset val="162"/>
        <scheme val="minor"/>
      </rPr>
      <t>21,0
10,1</t>
    </r>
  </si>
  <si>
    <r>
      <rPr>
        <sz val="9"/>
        <color rgb="FF221F1F"/>
        <rFont val="Calibri"/>
        <family val="2"/>
        <charset val="162"/>
        <scheme val="minor"/>
      </rPr>
      <t>26,7
12,9</t>
    </r>
  </si>
  <si>
    <r>
      <rPr>
        <sz val="9"/>
        <color rgb="FF221F1F"/>
        <rFont val="Calibri"/>
        <family val="2"/>
        <charset val="162"/>
        <scheme val="minor"/>
      </rPr>
      <t>0,359
0,439</t>
    </r>
  </si>
  <si>
    <r>
      <rPr>
        <sz val="9"/>
        <color rgb="FF221F1F"/>
        <rFont val="Calibri"/>
        <family val="2"/>
        <charset val="162"/>
        <scheme val="minor"/>
      </rPr>
      <t>379
301</t>
    </r>
  </si>
  <si>
    <r>
      <rPr>
        <sz val="9"/>
        <color rgb="FF221F1F"/>
        <rFont val="Calibri"/>
        <family val="2"/>
        <charset val="162"/>
        <scheme val="minor"/>
      </rPr>
      <t>3,77
4,83</t>
    </r>
  </si>
  <si>
    <r>
      <rPr>
        <sz val="9"/>
        <color rgb="FF221F1F"/>
        <rFont val="Calibri"/>
        <family val="2"/>
        <charset val="162"/>
        <scheme val="minor"/>
      </rPr>
      <t>66,4
43,1</t>
    </r>
  </si>
  <si>
    <r>
      <rPr>
        <sz val="9"/>
        <color rgb="FF221F1F"/>
        <rFont val="Calibri"/>
        <family val="2"/>
        <charset val="162"/>
        <scheme val="minor"/>
      </rPr>
      <t>90,6
56,1</t>
    </r>
  </si>
  <si>
    <r>
      <rPr>
        <sz val="9"/>
        <color rgb="FF221F1F"/>
        <rFont val="Calibri"/>
        <family val="2"/>
        <charset val="162"/>
        <scheme val="minor"/>
      </rPr>
      <t>759
602</t>
    </r>
  </si>
  <si>
    <r>
      <rPr>
        <sz val="9"/>
        <color rgb="FF221F1F"/>
        <rFont val="Calibri"/>
        <family val="2"/>
        <charset val="162"/>
        <scheme val="minor"/>
      </rPr>
      <t>133
86,2</t>
    </r>
  </si>
  <si>
    <r>
      <rPr>
        <sz val="9"/>
        <color rgb="FF221F1F"/>
        <rFont val="Calibri"/>
        <family val="2"/>
        <charset val="162"/>
        <scheme val="minor"/>
      </rPr>
      <t>139,7
139,7</t>
    </r>
  </si>
  <si>
    <r>
      <rPr>
        <sz val="9"/>
        <color rgb="FF221F1F"/>
        <rFont val="Calibri"/>
        <family val="2"/>
        <charset val="162"/>
        <scheme val="minor"/>
      </rPr>
      <t>4,0
* 5,0</t>
    </r>
  </si>
  <si>
    <r>
      <rPr>
        <sz val="9"/>
        <color rgb="FF221F1F"/>
        <rFont val="Calibri"/>
        <family val="2"/>
        <charset val="162"/>
        <scheme val="minor"/>
      </rPr>
      <t>13,4
16,6</t>
    </r>
  </si>
  <si>
    <r>
      <rPr>
        <sz val="9"/>
        <color rgb="FF221F1F"/>
        <rFont val="Calibri"/>
        <family val="2"/>
        <charset val="162"/>
        <scheme val="minor"/>
      </rPr>
      <t>17,1
21,2</t>
    </r>
  </si>
  <si>
    <r>
      <rPr>
        <sz val="9"/>
        <color rgb="FF221F1F"/>
        <rFont val="Calibri"/>
        <family val="2"/>
        <charset val="162"/>
        <scheme val="minor"/>
      </rPr>
      <t>0,439
0,439</t>
    </r>
  </si>
  <si>
    <r>
      <rPr>
        <sz val="9"/>
        <color rgb="FF221F1F"/>
        <rFont val="Calibri"/>
        <family val="2"/>
        <charset val="162"/>
        <scheme val="minor"/>
      </rPr>
      <t>393
481</t>
    </r>
  </si>
  <si>
    <r>
      <rPr>
        <sz val="9"/>
        <color rgb="FF221F1F"/>
        <rFont val="Calibri"/>
        <family val="2"/>
        <charset val="162"/>
        <scheme val="minor"/>
      </rPr>
      <t>4,80
4,77</t>
    </r>
  </si>
  <si>
    <r>
      <rPr>
        <sz val="9"/>
        <color rgb="FF221F1F"/>
        <rFont val="Calibri"/>
        <family val="2"/>
        <charset val="162"/>
        <scheme val="minor"/>
      </rPr>
      <t>56,2
68,8</t>
    </r>
  </si>
  <si>
    <r>
      <rPr>
        <sz val="9"/>
        <color rgb="FF221F1F"/>
        <rFont val="Calibri"/>
        <family val="2"/>
        <charset val="162"/>
        <scheme val="minor"/>
      </rPr>
      <t>73,7
90,8</t>
    </r>
  </si>
  <si>
    <r>
      <rPr>
        <sz val="9"/>
        <color rgb="FF221F1F"/>
        <rFont val="Calibri"/>
        <family val="2"/>
        <charset val="162"/>
        <scheme val="minor"/>
      </rPr>
      <t>786
961</t>
    </r>
  </si>
  <si>
    <r>
      <rPr>
        <sz val="9"/>
        <color rgb="FF221F1F"/>
        <rFont val="Calibri"/>
        <family val="2"/>
        <charset val="162"/>
        <scheme val="minor"/>
      </rPr>
      <t>112
138</t>
    </r>
  </si>
  <si>
    <r>
      <rPr>
        <sz val="9"/>
        <color rgb="FF221F1F"/>
        <rFont val="Calibri"/>
        <family val="2"/>
        <charset val="162"/>
        <scheme val="minor"/>
      </rPr>
      <t>19,8
20,7</t>
    </r>
  </si>
  <si>
    <r>
      <rPr>
        <sz val="9"/>
        <color rgb="FF221F1F"/>
        <rFont val="Calibri"/>
        <family val="2"/>
        <charset val="162"/>
        <scheme val="minor"/>
      </rPr>
      <t>25,2
26,4</t>
    </r>
  </si>
  <si>
    <r>
      <rPr>
        <sz val="9"/>
        <color rgb="FF221F1F"/>
        <rFont val="Calibri"/>
        <family val="2"/>
        <charset val="162"/>
        <scheme val="minor"/>
      </rPr>
      <t>564
589</t>
    </r>
  </si>
  <si>
    <r>
      <rPr>
        <sz val="9"/>
        <color rgb="FF221F1F"/>
        <rFont val="Calibri"/>
        <family val="2"/>
        <charset val="162"/>
        <scheme val="minor"/>
      </rPr>
      <t>4,73
4,72</t>
    </r>
  </si>
  <si>
    <r>
      <rPr>
        <sz val="9"/>
        <color rgb="FF221F1F"/>
        <rFont val="Calibri"/>
        <family val="2"/>
        <charset val="162"/>
        <scheme val="minor"/>
      </rPr>
      <t>80,8
84,3</t>
    </r>
  </si>
  <si>
    <r>
      <rPr>
        <sz val="9"/>
        <color rgb="FF221F1F"/>
        <rFont val="Calibri"/>
        <family val="2"/>
        <charset val="162"/>
        <scheme val="minor"/>
      </rPr>
      <t>107
112</t>
    </r>
  </si>
  <si>
    <r>
      <rPr>
        <sz val="9"/>
        <color rgb="FF221F1F"/>
        <rFont val="Calibri"/>
        <family val="2"/>
        <charset val="162"/>
        <scheme val="minor"/>
      </rPr>
      <t>1129
1177</t>
    </r>
  </si>
  <si>
    <r>
      <rPr>
        <sz val="9"/>
        <color rgb="FF221F1F"/>
        <rFont val="Calibri"/>
        <family val="2"/>
        <charset val="162"/>
        <scheme val="minor"/>
      </rPr>
      <t>162
169</t>
    </r>
  </si>
  <si>
    <r>
      <rPr>
        <sz val="9"/>
        <color rgb="FF221F1F"/>
        <rFont val="Calibri"/>
        <family val="2"/>
        <charset val="162"/>
        <scheme val="minor"/>
      </rPr>
      <t>139,7
168,3</t>
    </r>
  </si>
  <si>
    <r>
      <rPr>
        <sz val="9"/>
        <color rgb="FF221F1F"/>
        <rFont val="Calibri"/>
        <family val="2"/>
        <charset val="162"/>
        <scheme val="minor"/>
      </rPr>
      <t>26,0
12,2</t>
    </r>
  </si>
  <si>
    <r>
      <rPr>
        <sz val="9"/>
        <color rgb="FF221F1F"/>
        <rFont val="Calibri"/>
        <family val="2"/>
        <charset val="162"/>
        <scheme val="minor"/>
      </rPr>
      <t>33,1
15,6</t>
    </r>
  </si>
  <si>
    <r>
      <rPr>
        <sz val="9"/>
        <color rgb="FF221F1F"/>
        <rFont val="Calibri"/>
        <family val="2"/>
        <charset val="162"/>
        <scheme val="minor"/>
      </rPr>
      <t>0,439
0,529</t>
    </r>
  </si>
  <si>
    <r>
      <rPr>
        <sz val="9"/>
        <color rgb="FF221F1F"/>
        <rFont val="Calibri"/>
        <family val="2"/>
        <charset val="162"/>
        <scheme val="minor"/>
      </rPr>
      <t>720
532</t>
    </r>
  </si>
  <si>
    <r>
      <rPr>
        <sz val="9"/>
        <color rgb="FF221F1F"/>
        <rFont val="Calibri"/>
        <family val="2"/>
        <charset val="162"/>
        <scheme val="minor"/>
      </rPr>
      <t>4,66
5,85</t>
    </r>
  </si>
  <si>
    <r>
      <rPr>
        <sz val="9"/>
        <color rgb="FF221F1F"/>
        <rFont val="Calibri"/>
        <family val="2"/>
        <charset val="162"/>
        <scheme val="minor"/>
      </rPr>
      <t>103
63,3</t>
    </r>
  </si>
  <si>
    <r>
      <rPr>
        <sz val="9"/>
        <color rgb="FF221F1F"/>
        <rFont val="Calibri"/>
        <family val="2"/>
        <charset val="162"/>
        <scheme val="minor"/>
      </rPr>
      <t>139
82,0</t>
    </r>
  </si>
  <si>
    <r>
      <rPr>
        <sz val="9"/>
        <color rgb="FF221F1F"/>
        <rFont val="Calibri"/>
        <family val="2"/>
        <charset val="162"/>
        <scheme val="minor"/>
      </rPr>
      <t>1441
1065</t>
    </r>
  </si>
  <si>
    <r>
      <rPr>
        <sz val="9"/>
        <color rgb="FF221F1F"/>
        <rFont val="Calibri"/>
        <family val="2"/>
        <charset val="162"/>
        <scheme val="minor"/>
      </rPr>
      <t>206
127</t>
    </r>
  </si>
  <si>
    <r>
      <rPr>
        <sz val="9"/>
        <color rgb="FF221F1F"/>
        <rFont val="Calibri"/>
        <family val="2"/>
        <charset val="162"/>
        <scheme val="minor"/>
      </rPr>
      <t>168,3
168,3</t>
    </r>
  </si>
  <si>
    <r>
      <rPr>
        <sz val="9"/>
        <color rgb="FF221F1F"/>
        <rFont val="Calibri"/>
        <family val="2"/>
        <charset val="162"/>
        <scheme val="minor"/>
      </rPr>
      <t>4,0
5,0</t>
    </r>
  </si>
  <si>
    <r>
      <rPr>
        <sz val="9"/>
        <color rgb="FF221F1F"/>
        <rFont val="Calibri"/>
        <family val="2"/>
        <charset val="162"/>
        <scheme val="minor"/>
      </rPr>
      <t>16,2
20,1</t>
    </r>
  </si>
  <si>
    <r>
      <rPr>
        <sz val="9"/>
        <color rgb="FF221F1F"/>
        <rFont val="Calibri"/>
        <family val="2"/>
        <charset val="162"/>
        <scheme val="minor"/>
      </rPr>
      <t>20,6
25,7</t>
    </r>
  </si>
  <si>
    <r>
      <rPr>
        <sz val="9"/>
        <color rgb="FF221F1F"/>
        <rFont val="Calibri"/>
        <family val="2"/>
        <charset val="162"/>
        <scheme val="minor"/>
      </rPr>
      <t>0,529
0,529</t>
    </r>
  </si>
  <si>
    <r>
      <rPr>
        <sz val="9"/>
        <color rgb="FF221F1F"/>
        <rFont val="Calibri"/>
        <family val="2"/>
        <charset val="162"/>
        <scheme val="minor"/>
      </rPr>
      <t>697
856</t>
    </r>
  </si>
  <si>
    <r>
      <rPr>
        <sz val="9"/>
        <color rgb="FF221F1F"/>
        <rFont val="Calibri"/>
        <family val="2"/>
        <charset val="162"/>
        <scheme val="minor"/>
      </rPr>
      <t>5,81
5,78</t>
    </r>
  </si>
  <si>
    <r>
      <rPr>
        <sz val="9"/>
        <color rgb="FF221F1F"/>
        <rFont val="Calibri"/>
        <family val="2"/>
        <charset val="162"/>
        <scheme val="minor"/>
      </rPr>
      <t>82,8
102</t>
    </r>
  </si>
  <si>
    <r>
      <rPr>
        <sz val="9"/>
        <color rgb="FF221F1F"/>
        <rFont val="Calibri"/>
        <family val="2"/>
        <charset val="162"/>
        <scheme val="minor"/>
      </rPr>
      <t>108
133</t>
    </r>
  </si>
  <si>
    <r>
      <rPr>
        <sz val="9"/>
        <color rgb="FF221F1F"/>
        <rFont val="Calibri"/>
        <family val="2"/>
        <charset val="162"/>
        <scheme val="minor"/>
      </rPr>
      <t>1394
1712</t>
    </r>
  </si>
  <si>
    <r>
      <rPr>
        <sz val="9"/>
        <color rgb="FF221F1F"/>
        <rFont val="Calibri"/>
        <family val="2"/>
        <charset val="162"/>
        <scheme val="minor"/>
      </rPr>
      <t>166
203</t>
    </r>
  </si>
  <si>
    <r>
      <rPr>
        <sz val="9"/>
        <color rgb="FF221F1F"/>
        <rFont val="Calibri"/>
        <family val="2"/>
        <charset val="162"/>
        <scheme val="minor"/>
      </rPr>
      <t>24,0
25,2</t>
    </r>
  </si>
  <si>
    <r>
      <rPr>
        <sz val="9"/>
        <color rgb="FF221F1F"/>
        <rFont val="Calibri"/>
        <family val="2"/>
        <charset val="162"/>
        <scheme val="minor"/>
      </rPr>
      <t>30,6
32,1</t>
    </r>
  </si>
  <si>
    <r>
      <rPr>
        <sz val="9"/>
        <color rgb="FF221F1F"/>
        <rFont val="Calibri"/>
        <family val="2"/>
        <charset val="162"/>
        <scheme val="minor"/>
      </rPr>
      <t>1009
1053</t>
    </r>
  </si>
  <si>
    <r>
      <rPr>
        <sz val="9"/>
        <color rgb="FF221F1F"/>
        <rFont val="Calibri"/>
        <family val="2"/>
        <charset val="162"/>
        <scheme val="minor"/>
      </rPr>
      <t>5,74
5,73</t>
    </r>
  </si>
  <si>
    <r>
      <rPr>
        <sz val="9"/>
        <color rgb="FF221F1F"/>
        <rFont val="Calibri"/>
        <family val="2"/>
        <charset val="162"/>
        <scheme val="minor"/>
      </rPr>
      <t>120
125</t>
    </r>
  </si>
  <si>
    <r>
      <rPr>
        <sz val="9"/>
        <color rgb="FF221F1F"/>
        <rFont val="Calibri"/>
        <family val="2"/>
        <charset val="162"/>
        <scheme val="minor"/>
      </rPr>
      <t>158
165</t>
    </r>
  </si>
  <si>
    <r>
      <rPr>
        <sz val="9"/>
        <color rgb="FF221F1F"/>
        <rFont val="Calibri"/>
        <family val="2"/>
        <charset val="162"/>
        <scheme val="minor"/>
      </rPr>
      <t>2017
2107</t>
    </r>
  </si>
  <si>
    <r>
      <rPr>
        <sz val="9"/>
        <color rgb="FF221F1F"/>
        <rFont val="Calibri"/>
        <family val="2"/>
        <charset val="162"/>
        <scheme val="minor"/>
      </rPr>
      <t>240
250</t>
    </r>
  </si>
  <si>
    <r>
      <rPr>
        <sz val="9"/>
        <color rgb="FF221F1F"/>
        <rFont val="Calibri"/>
        <family val="2"/>
        <charset val="162"/>
        <scheme val="minor"/>
      </rPr>
      <t>168,3
177,8</t>
    </r>
  </si>
  <si>
    <r>
      <rPr>
        <sz val="9"/>
        <color rgb="FF221F1F"/>
        <rFont val="Calibri"/>
        <family val="2"/>
        <charset val="162"/>
        <scheme val="minor"/>
      </rPr>
      <t>8,0
4,0</t>
    </r>
  </si>
  <si>
    <r>
      <rPr>
        <sz val="9"/>
        <color rgb="FF221F1F"/>
        <rFont val="Calibri"/>
        <family val="2"/>
        <charset val="162"/>
        <scheme val="minor"/>
      </rPr>
      <t>31,6
17,1</t>
    </r>
  </si>
  <si>
    <r>
      <rPr>
        <sz val="9"/>
        <color rgb="FF221F1F"/>
        <rFont val="Calibri"/>
        <family val="2"/>
        <charset val="162"/>
        <scheme val="minor"/>
      </rPr>
      <t>40,3
21,8</t>
    </r>
  </si>
  <si>
    <r>
      <rPr>
        <sz val="9"/>
        <color rgb="FF221F1F"/>
        <rFont val="Calibri"/>
        <family val="2"/>
        <charset val="162"/>
        <scheme val="minor"/>
      </rPr>
      <t>0,529
0,559</t>
    </r>
  </si>
  <si>
    <r>
      <rPr>
        <sz val="9"/>
        <color rgb="FF221F1F"/>
        <rFont val="Calibri"/>
        <family val="2"/>
        <charset val="162"/>
        <scheme val="minor"/>
      </rPr>
      <t>1297
825</t>
    </r>
  </si>
  <si>
    <r>
      <rPr>
        <sz val="9"/>
        <color rgb="FF221F1F"/>
        <rFont val="Calibri"/>
        <family val="2"/>
        <charset val="162"/>
        <scheme val="minor"/>
      </rPr>
      <t>5,67
6,15</t>
    </r>
  </si>
  <si>
    <r>
      <rPr>
        <sz val="9"/>
        <color rgb="FF221F1F"/>
        <rFont val="Calibri"/>
        <family val="2"/>
        <charset val="162"/>
        <scheme val="minor"/>
      </rPr>
      <t>154
92,8</t>
    </r>
  </si>
  <si>
    <r>
      <rPr>
        <sz val="9"/>
        <color rgb="FF221F1F"/>
        <rFont val="Calibri"/>
        <family val="2"/>
        <charset val="162"/>
        <scheme val="minor"/>
      </rPr>
      <t>206
121</t>
    </r>
  </si>
  <si>
    <r>
      <rPr>
        <sz val="9"/>
        <color rgb="FF221F1F"/>
        <rFont val="Calibri"/>
        <family val="2"/>
        <charset val="162"/>
        <scheme val="minor"/>
      </rPr>
      <t>2595
1650</t>
    </r>
  </si>
  <si>
    <r>
      <rPr>
        <sz val="9"/>
        <color rgb="FF221F1F"/>
        <rFont val="Calibri"/>
        <family val="2"/>
        <charset val="162"/>
        <scheme val="minor"/>
      </rPr>
      <t>308
186</t>
    </r>
  </si>
  <si>
    <r>
      <rPr>
        <sz val="9"/>
        <color rgb="FF221F1F"/>
        <rFont val="Calibri"/>
        <family val="2"/>
        <charset val="162"/>
        <scheme val="minor"/>
      </rPr>
      <t>177,8
177,8</t>
    </r>
  </si>
  <si>
    <r>
      <rPr>
        <sz val="9"/>
        <color rgb="FF221F1F"/>
        <rFont val="Calibri"/>
        <family val="2"/>
        <charset val="162"/>
        <scheme val="minor"/>
      </rPr>
      <t>5,0
* 6,0</t>
    </r>
  </si>
  <si>
    <r>
      <rPr>
        <sz val="9"/>
        <color rgb="FF221F1F"/>
        <rFont val="Calibri"/>
        <family val="2"/>
        <charset val="162"/>
        <scheme val="minor"/>
      </rPr>
      <t>21,3
25,4</t>
    </r>
  </si>
  <si>
    <r>
      <rPr>
        <sz val="9"/>
        <color rgb="FF221F1F"/>
        <rFont val="Calibri"/>
        <family val="2"/>
        <charset val="162"/>
        <scheme val="minor"/>
      </rPr>
      <t>27,1
32,4</t>
    </r>
  </si>
  <si>
    <r>
      <rPr>
        <sz val="9"/>
        <color rgb="FF221F1F"/>
        <rFont val="Calibri"/>
        <family val="2"/>
        <charset val="162"/>
        <scheme val="minor"/>
      </rPr>
      <t>0,559
0,559</t>
    </r>
  </si>
  <si>
    <r>
      <rPr>
        <sz val="9"/>
        <color rgb="FF221F1F"/>
        <rFont val="Calibri"/>
        <family val="2"/>
        <charset val="162"/>
        <scheme val="minor"/>
      </rPr>
      <t>1014
1196</t>
    </r>
  </si>
  <si>
    <r>
      <rPr>
        <sz val="9"/>
        <color rgb="FF221F1F"/>
        <rFont val="Calibri"/>
        <family val="2"/>
        <charset val="162"/>
        <scheme val="minor"/>
      </rPr>
      <t>6,11
6,08</t>
    </r>
  </si>
  <si>
    <r>
      <rPr>
        <sz val="9"/>
        <color rgb="FF221F1F"/>
        <rFont val="Calibri"/>
        <family val="2"/>
        <charset val="162"/>
        <scheme val="minor"/>
      </rPr>
      <t>114
135</t>
    </r>
  </si>
  <si>
    <r>
      <rPr>
        <sz val="9"/>
        <color rgb="FF221F1F"/>
        <rFont val="Calibri"/>
        <family val="2"/>
        <charset val="162"/>
        <scheme val="minor"/>
      </rPr>
      <t>149
177</t>
    </r>
  </si>
  <si>
    <r>
      <rPr>
        <sz val="9"/>
        <color rgb="FF221F1F"/>
        <rFont val="Calibri"/>
        <family val="2"/>
        <charset val="162"/>
        <scheme val="minor"/>
      </rPr>
      <t>2028
2392</t>
    </r>
  </si>
  <si>
    <r>
      <rPr>
        <sz val="9"/>
        <color rgb="FF221F1F"/>
        <rFont val="Calibri"/>
        <family val="2"/>
        <charset val="162"/>
        <scheme val="minor"/>
      </rPr>
      <t>228
269</t>
    </r>
  </si>
  <si>
    <r>
      <rPr>
        <sz val="9"/>
        <color rgb="FF221F1F"/>
        <rFont val="Calibri"/>
        <family val="2"/>
        <charset val="162"/>
        <scheme val="minor"/>
      </rPr>
      <t>* 6,3
8,0</t>
    </r>
  </si>
  <si>
    <r>
      <rPr>
        <sz val="9"/>
        <color rgb="FF221F1F"/>
        <rFont val="Calibri"/>
        <family val="2"/>
        <charset val="162"/>
        <scheme val="minor"/>
      </rPr>
      <t>26,6
33,5</t>
    </r>
  </si>
  <si>
    <r>
      <rPr>
        <sz val="9"/>
        <color rgb="FF221F1F"/>
        <rFont val="Calibri"/>
        <family val="2"/>
        <charset val="162"/>
        <scheme val="minor"/>
      </rPr>
      <t>33,9
42,7</t>
    </r>
  </si>
  <si>
    <r>
      <rPr>
        <sz val="9"/>
        <color rgb="FF221F1F"/>
        <rFont val="Calibri"/>
        <family val="2"/>
        <charset val="162"/>
        <scheme val="minor"/>
      </rPr>
      <t>1250
1541</t>
    </r>
  </si>
  <si>
    <r>
      <rPr>
        <sz val="9"/>
        <color rgb="FF221F1F"/>
        <rFont val="Calibri"/>
        <family val="2"/>
        <charset val="162"/>
        <scheme val="minor"/>
      </rPr>
      <t>6,07
6,01</t>
    </r>
  </si>
  <si>
    <r>
      <rPr>
        <sz val="9"/>
        <color rgb="FF221F1F"/>
        <rFont val="Calibri"/>
        <family val="2"/>
        <charset val="162"/>
        <scheme val="minor"/>
      </rPr>
      <t>141
173</t>
    </r>
  </si>
  <si>
    <r>
      <rPr>
        <sz val="9"/>
        <color rgb="FF221F1F"/>
        <rFont val="Calibri"/>
        <family val="2"/>
        <charset val="162"/>
        <scheme val="minor"/>
      </rPr>
      <t>185
231</t>
    </r>
  </si>
  <si>
    <r>
      <rPr>
        <sz val="9"/>
        <color rgb="FF221F1F"/>
        <rFont val="Calibri"/>
        <family val="2"/>
        <charset val="162"/>
        <scheme val="minor"/>
      </rPr>
      <t>2499
3083</t>
    </r>
  </si>
  <si>
    <r>
      <rPr>
        <sz val="9"/>
        <color rgb="FF221F1F"/>
        <rFont val="Calibri"/>
        <family val="2"/>
        <charset val="162"/>
        <scheme val="minor"/>
      </rPr>
      <t>281
347</t>
    </r>
  </si>
  <si>
    <r>
      <rPr>
        <sz val="9"/>
        <color rgb="FF221F1F"/>
        <rFont val="Calibri"/>
        <family val="2"/>
        <charset val="162"/>
        <scheme val="minor"/>
      </rPr>
      <t>219,1
219,1</t>
    </r>
  </si>
  <si>
    <r>
      <rPr>
        <sz val="9"/>
        <color rgb="FF221F1F"/>
        <rFont val="Calibri"/>
        <family val="2"/>
        <charset val="162"/>
        <scheme val="minor"/>
      </rPr>
      <t>21,2
26,4</t>
    </r>
  </si>
  <si>
    <r>
      <rPr>
        <sz val="9"/>
        <color rgb="FF221F1F"/>
        <rFont val="Calibri"/>
        <family val="2"/>
        <charset val="162"/>
        <scheme val="minor"/>
      </rPr>
      <t>27,0
33,6</t>
    </r>
  </si>
  <si>
    <r>
      <rPr>
        <sz val="9"/>
        <color rgb="FF221F1F"/>
        <rFont val="Calibri"/>
        <family val="2"/>
        <charset val="162"/>
        <scheme val="minor"/>
      </rPr>
      <t>0,688
0,688</t>
    </r>
  </si>
  <si>
    <r>
      <rPr>
        <sz val="9"/>
        <color rgb="FF221F1F"/>
        <rFont val="Calibri"/>
        <family val="2"/>
        <charset val="162"/>
        <scheme val="minor"/>
      </rPr>
      <t>1564
1928</t>
    </r>
  </si>
  <si>
    <r>
      <rPr>
        <sz val="9"/>
        <color rgb="FF221F1F"/>
        <rFont val="Calibri"/>
        <family val="2"/>
        <charset val="162"/>
        <scheme val="minor"/>
      </rPr>
      <t>7,61
7,57</t>
    </r>
  </si>
  <si>
    <r>
      <rPr>
        <sz val="9"/>
        <color rgb="FF221F1F"/>
        <rFont val="Calibri"/>
        <family val="2"/>
        <charset val="162"/>
        <scheme val="minor"/>
      </rPr>
      <t>143
176</t>
    </r>
  </si>
  <si>
    <r>
      <rPr>
        <sz val="9"/>
        <color rgb="FF221F1F"/>
        <rFont val="Calibri"/>
        <family val="2"/>
        <charset val="162"/>
        <scheme val="minor"/>
      </rPr>
      <t>185
229</t>
    </r>
  </si>
  <si>
    <r>
      <rPr>
        <sz val="9"/>
        <color rgb="FF221F1F"/>
        <rFont val="Calibri"/>
        <family val="2"/>
        <charset val="162"/>
        <scheme val="minor"/>
      </rPr>
      <t>3128
3856</t>
    </r>
  </si>
  <si>
    <r>
      <rPr>
        <sz val="9"/>
        <color rgb="FF221F1F"/>
        <rFont val="Calibri"/>
        <family val="2"/>
        <charset val="162"/>
        <scheme val="minor"/>
      </rPr>
      <t>286
352</t>
    </r>
  </si>
  <si>
    <r>
      <rPr>
        <sz val="9"/>
        <color rgb="FF221F1F"/>
        <rFont val="Calibri"/>
        <family val="2"/>
        <charset val="162"/>
        <scheme val="minor"/>
      </rPr>
      <t>31,5
33,1</t>
    </r>
  </si>
  <si>
    <r>
      <rPr>
        <sz val="9"/>
        <color rgb="FF221F1F"/>
        <rFont val="Calibri"/>
        <family val="2"/>
        <charset val="162"/>
        <scheme val="minor"/>
      </rPr>
      <t>40,2
42,1</t>
    </r>
  </si>
  <si>
    <r>
      <rPr>
        <sz val="9"/>
        <color rgb="FF221F1F"/>
        <rFont val="Calibri"/>
        <family val="2"/>
        <charset val="162"/>
        <scheme val="minor"/>
      </rPr>
      <t>2282
2386</t>
    </r>
  </si>
  <si>
    <r>
      <rPr>
        <sz val="9"/>
        <color rgb="FF221F1F"/>
        <rFont val="Calibri"/>
        <family val="2"/>
        <charset val="162"/>
        <scheme val="minor"/>
      </rPr>
      <t>7,54
7,53</t>
    </r>
  </si>
  <si>
    <r>
      <rPr>
        <sz val="9"/>
        <color rgb="FF221F1F"/>
        <rFont val="Calibri"/>
        <family val="2"/>
        <charset val="162"/>
        <scheme val="minor"/>
      </rPr>
      <t>208
218</t>
    </r>
  </si>
  <si>
    <r>
      <rPr>
        <sz val="9"/>
        <color rgb="FF221F1F"/>
        <rFont val="Calibri"/>
        <family val="2"/>
        <charset val="162"/>
        <scheme val="minor"/>
      </rPr>
      <t>273
285</t>
    </r>
  </si>
  <si>
    <r>
      <rPr>
        <sz val="9"/>
        <color rgb="FF221F1F"/>
        <rFont val="Calibri"/>
        <family val="2"/>
        <charset val="162"/>
        <scheme val="minor"/>
      </rPr>
      <t>4564
4772</t>
    </r>
  </si>
  <si>
    <r>
      <rPr>
        <sz val="9"/>
        <color rgb="FF221F1F"/>
        <rFont val="Calibri"/>
        <family val="2"/>
        <charset val="162"/>
        <scheme val="minor"/>
      </rPr>
      <t>417
436</t>
    </r>
  </si>
  <si>
    <r>
      <rPr>
        <sz val="9"/>
        <color rgb="FF221F1F"/>
        <rFont val="Calibri"/>
        <family val="2"/>
        <charset val="162"/>
        <scheme val="minor"/>
      </rPr>
      <t>* 8,0
* 10,0</t>
    </r>
  </si>
  <si>
    <r>
      <rPr>
        <sz val="9"/>
        <color rgb="FF221F1F"/>
        <rFont val="Calibri"/>
        <family val="2"/>
        <charset val="162"/>
        <scheme val="minor"/>
      </rPr>
      <t>41,6
51,6</t>
    </r>
  </si>
  <si>
    <r>
      <rPr>
        <sz val="9"/>
        <color rgb="FF221F1F"/>
        <rFont val="Calibri"/>
        <family val="2"/>
        <charset val="162"/>
        <scheme val="minor"/>
      </rPr>
      <t>53,1
65,7</t>
    </r>
  </si>
  <si>
    <r>
      <rPr>
        <sz val="9"/>
        <color rgb="FF221F1F"/>
        <rFont val="Calibri"/>
        <family val="2"/>
        <charset val="162"/>
        <scheme val="minor"/>
      </rPr>
      <t>2960
3598</t>
    </r>
  </si>
  <si>
    <r>
      <rPr>
        <sz val="9"/>
        <color rgb="FF221F1F"/>
        <rFont val="Calibri"/>
        <family val="2"/>
        <charset val="162"/>
        <scheme val="minor"/>
      </rPr>
      <t>7,47
7,40</t>
    </r>
  </si>
  <si>
    <r>
      <rPr>
        <sz val="9"/>
        <color rgb="FF221F1F"/>
        <rFont val="Calibri"/>
        <family val="2"/>
        <charset val="162"/>
        <scheme val="minor"/>
      </rPr>
      <t>270
328</t>
    </r>
  </si>
  <si>
    <r>
      <rPr>
        <sz val="9"/>
        <color rgb="FF221F1F"/>
        <rFont val="Calibri"/>
        <family val="2"/>
        <charset val="162"/>
        <scheme val="minor"/>
      </rPr>
      <t>357
438</t>
    </r>
  </si>
  <si>
    <r>
      <rPr>
        <sz val="9"/>
        <color rgb="FF221F1F"/>
        <rFont val="Calibri"/>
        <family val="2"/>
        <charset val="162"/>
        <scheme val="minor"/>
      </rPr>
      <t>5919
7197</t>
    </r>
  </si>
  <si>
    <r>
      <rPr>
        <sz val="9"/>
        <color rgb="FF221F1F"/>
        <rFont val="Calibri"/>
        <family val="2"/>
        <charset val="162"/>
        <scheme val="minor"/>
      </rPr>
      <t>540
657</t>
    </r>
  </si>
  <si>
    <r>
      <rPr>
        <sz val="9"/>
        <color rgb="FF221F1F"/>
        <rFont val="Calibri"/>
        <family val="2"/>
        <charset val="162"/>
        <scheme val="minor"/>
      </rPr>
      <t>244,5
244,5</t>
    </r>
  </si>
  <si>
    <r>
      <rPr>
        <sz val="9"/>
        <color rgb="FF221F1F"/>
        <rFont val="Calibri"/>
        <family val="2"/>
        <charset val="162"/>
        <scheme val="minor"/>
      </rPr>
      <t>29,5
35,3</t>
    </r>
  </si>
  <si>
    <r>
      <rPr>
        <sz val="9"/>
        <color rgb="FF221F1F"/>
        <rFont val="Calibri"/>
        <family val="2"/>
        <charset val="162"/>
        <scheme val="minor"/>
      </rPr>
      <t>37,6
45,0</t>
    </r>
  </si>
  <si>
    <r>
      <rPr>
        <sz val="9"/>
        <color rgb="FF221F1F"/>
        <rFont val="Calibri"/>
        <family val="2"/>
        <charset val="162"/>
        <scheme val="minor"/>
      </rPr>
      <t>0,768
0,768</t>
    </r>
  </si>
  <si>
    <r>
      <rPr>
        <sz val="9"/>
        <color rgb="FF221F1F"/>
        <rFont val="Calibri"/>
        <family val="2"/>
        <charset val="162"/>
        <scheme val="minor"/>
      </rPr>
      <t>2699
3199</t>
    </r>
  </si>
  <si>
    <r>
      <rPr>
        <sz val="9"/>
        <color rgb="FF221F1F"/>
        <rFont val="Calibri"/>
        <family val="2"/>
        <charset val="162"/>
        <scheme val="minor"/>
      </rPr>
      <t>8,47
8,43</t>
    </r>
  </si>
  <si>
    <r>
      <rPr>
        <sz val="9"/>
        <color rgb="FF221F1F"/>
        <rFont val="Calibri"/>
        <family val="2"/>
        <charset val="162"/>
        <scheme val="minor"/>
      </rPr>
      <t>221
262</t>
    </r>
  </si>
  <si>
    <r>
      <rPr>
        <sz val="9"/>
        <color rgb="FF221F1F"/>
        <rFont val="Calibri"/>
        <family val="2"/>
        <charset val="162"/>
        <scheme val="minor"/>
      </rPr>
      <t>287
341</t>
    </r>
  </si>
  <si>
    <r>
      <rPr>
        <sz val="9"/>
        <color rgb="FF221F1F"/>
        <rFont val="Calibri"/>
        <family val="2"/>
        <charset val="162"/>
        <scheme val="minor"/>
      </rPr>
      <t>5397
6397</t>
    </r>
  </si>
  <si>
    <r>
      <rPr>
        <sz val="9"/>
        <color rgb="FF221F1F"/>
        <rFont val="Calibri"/>
        <family val="2"/>
        <charset val="162"/>
        <scheme val="minor"/>
      </rPr>
      <t>441
523</t>
    </r>
  </si>
  <si>
    <r>
      <rPr>
        <sz val="9"/>
        <color rgb="FF221F1F"/>
        <rFont val="Calibri"/>
        <family val="2"/>
        <charset val="162"/>
        <scheme val="minor"/>
      </rPr>
      <t>37,0
46,7</t>
    </r>
  </si>
  <si>
    <r>
      <rPr>
        <sz val="9"/>
        <color rgb="FF221F1F"/>
        <rFont val="Calibri"/>
        <family val="2"/>
        <charset val="162"/>
        <scheme val="minor"/>
      </rPr>
      <t>47,1
59,4</t>
    </r>
  </si>
  <si>
    <r>
      <rPr>
        <sz val="9"/>
        <color rgb="FF221F1F"/>
        <rFont val="Calibri"/>
        <family val="2"/>
        <charset val="162"/>
        <scheme val="minor"/>
      </rPr>
      <t>3346
4160</t>
    </r>
  </si>
  <si>
    <r>
      <rPr>
        <sz val="9"/>
        <color rgb="FF221F1F"/>
        <rFont val="Calibri"/>
        <family val="2"/>
        <charset val="162"/>
        <scheme val="minor"/>
      </rPr>
      <t>8,42
8,37</t>
    </r>
  </si>
  <si>
    <r>
      <rPr>
        <sz val="9"/>
        <color rgb="FF221F1F"/>
        <rFont val="Calibri"/>
        <family val="2"/>
        <charset val="162"/>
        <scheme val="minor"/>
      </rPr>
      <t>274
340</t>
    </r>
  </si>
  <si>
    <r>
      <rPr>
        <sz val="9"/>
        <color rgb="FF221F1F"/>
        <rFont val="Calibri"/>
        <family val="2"/>
        <charset val="162"/>
        <scheme val="minor"/>
      </rPr>
      <t>358
448</t>
    </r>
  </si>
  <si>
    <r>
      <rPr>
        <sz val="9"/>
        <color rgb="FF221F1F"/>
        <rFont val="Calibri"/>
        <family val="2"/>
        <charset val="162"/>
        <scheme val="minor"/>
      </rPr>
      <t>6692
8321</t>
    </r>
  </si>
  <si>
    <r>
      <rPr>
        <sz val="9"/>
        <color rgb="FF221F1F"/>
        <rFont val="Calibri"/>
        <family val="2"/>
        <charset val="162"/>
        <scheme val="minor"/>
      </rPr>
      <t>547
681</t>
    </r>
  </si>
  <si>
    <r>
      <rPr>
        <sz val="9"/>
        <color rgb="FF221F1F"/>
        <rFont val="Calibri"/>
        <family val="2"/>
        <charset val="162"/>
        <scheme val="minor"/>
      </rPr>
      <t>244,5
273,0</t>
    </r>
  </si>
  <si>
    <r>
      <rPr>
        <sz val="9"/>
        <color rgb="FF221F1F"/>
        <rFont val="Calibri"/>
        <family val="2"/>
        <charset val="162"/>
        <scheme val="minor"/>
      </rPr>
      <t>* 10,0
* 5,0</t>
    </r>
  </si>
  <si>
    <r>
      <rPr>
        <sz val="9"/>
        <color rgb="FF221F1F"/>
        <rFont val="Calibri"/>
        <family val="2"/>
        <charset val="162"/>
        <scheme val="minor"/>
      </rPr>
      <t>57,8
33,0</t>
    </r>
  </si>
  <si>
    <r>
      <rPr>
        <sz val="9"/>
        <color rgb="FF221F1F"/>
        <rFont val="Calibri"/>
        <family val="2"/>
        <charset val="162"/>
        <scheme val="minor"/>
      </rPr>
      <t>73,7
42,1</t>
    </r>
  </si>
  <si>
    <r>
      <rPr>
        <sz val="9"/>
        <color rgb="FF221F1F"/>
        <rFont val="Calibri"/>
        <family val="2"/>
        <charset val="162"/>
        <scheme val="minor"/>
      </rPr>
      <t>0,768
0,858</t>
    </r>
  </si>
  <si>
    <r>
      <rPr>
        <sz val="9"/>
        <color rgb="FF221F1F"/>
        <rFont val="Calibri"/>
        <family val="2"/>
        <charset val="162"/>
        <scheme val="minor"/>
      </rPr>
      <t>5073
3781</t>
    </r>
  </si>
  <si>
    <r>
      <rPr>
        <sz val="9"/>
        <color rgb="FF221F1F"/>
        <rFont val="Calibri"/>
        <family val="2"/>
        <charset val="162"/>
        <scheme val="minor"/>
      </rPr>
      <t>8,30
9,48</t>
    </r>
  </si>
  <si>
    <r>
      <rPr>
        <sz val="9"/>
        <color rgb="FF221F1F"/>
        <rFont val="Calibri"/>
        <family val="2"/>
        <charset val="162"/>
        <scheme val="minor"/>
      </rPr>
      <t>415
277</t>
    </r>
  </si>
  <si>
    <r>
      <rPr>
        <sz val="9"/>
        <color rgb="FF221F1F"/>
        <rFont val="Calibri"/>
        <family val="2"/>
        <charset val="162"/>
        <scheme val="minor"/>
      </rPr>
      <t>550
359</t>
    </r>
  </si>
  <si>
    <r>
      <rPr>
        <sz val="9"/>
        <color rgb="FF221F1F"/>
        <rFont val="Calibri"/>
        <family val="2"/>
        <charset val="162"/>
        <scheme val="minor"/>
      </rPr>
      <t>10146
7562</t>
    </r>
  </si>
  <si>
    <r>
      <rPr>
        <sz val="9"/>
        <color rgb="FF221F1F"/>
        <rFont val="Calibri"/>
        <family val="2"/>
        <charset val="162"/>
        <scheme val="minor"/>
      </rPr>
      <t>830
554</t>
    </r>
  </si>
  <si>
    <r>
      <rPr>
        <sz val="9"/>
        <color rgb="FF221F1F"/>
        <rFont val="Calibri"/>
        <family val="2"/>
        <charset val="162"/>
        <scheme val="minor"/>
      </rPr>
      <t>273,0
273,0</t>
    </r>
  </si>
  <si>
    <r>
      <rPr>
        <sz val="9"/>
        <color rgb="FF221F1F"/>
        <rFont val="Calibri"/>
        <family val="2"/>
        <charset val="162"/>
        <scheme val="minor"/>
      </rPr>
      <t>39,5
41,4</t>
    </r>
  </si>
  <si>
    <r>
      <rPr>
        <sz val="9"/>
        <color rgb="FF221F1F"/>
        <rFont val="Calibri"/>
        <family val="2"/>
        <charset val="162"/>
        <scheme val="minor"/>
      </rPr>
      <t>50,2
52,8</t>
    </r>
  </si>
  <si>
    <r>
      <rPr>
        <sz val="9"/>
        <color rgb="FF221F1F"/>
        <rFont val="Calibri"/>
        <family val="2"/>
        <charset val="162"/>
        <scheme val="minor"/>
      </rPr>
      <t>0,858
0,858</t>
    </r>
  </si>
  <si>
    <r>
      <rPr>
        <sz val="9"/>
        <color rgb="FF221F1F"/>
        <rFont val="Calibri"/>
        <family val="2"/>
        <charset val="162"/>
        <scheme val="minor"/>
      </rPr>
      <t>4487
4696</t>
    </r>
  </si>
  <si>
    <r>
      <rPr>
        <sz val="9"/>
        <color rgb="FF221F1F"/>
        <rFont val="Calibri"/>
        <family val="2"/>
        <charset val="162"/>
        <scheme val="minor"/>
      </rPr>
      <t>9,44
9,43</t>
    </r>
  </si>
  <si>
    <r>
      <rPr>
        <sz val="9"/>
        <color rgb="FF221F1F"/>
        <rFont val="Calibri"/>
        <family val="2"/>
        <charset val="162"/>
        <scheme val="minor"/>
      </rPr>
      <t>329
344</t>
    </r>
  </si>
  <si>
    <r>
      <rPr>
        <sz val="9"/>
        <color rgb="FF221F1F"/>
        <rFont val="Calibri"/>
        <family val="2"/>
        <charset val="162"/>
        <scheme val="minor"/>
      </rPr>
      <t>428
448</t>
    </r>
  </si>
  <si>
    <r>
      <rPr>
        <sz val="9"/>
        <color rgb="FF221F1F"/>
        <rFont val="Calibri"/>
        <family val="2"/>
        <charset val="162"/>
        <scheme val="minor"/>
      </rPr>
      <t>8974
9392</t>
    </r>
  </si>
  <si>
    <r>
      <rPr>
        <sz val="9"/>
        <color rgb="FF221F1F"/>
        <rFont val="Calibri"/>
        <family val="2"/>
        <charset val="162"/>
        <scheme val="minor"/>
      </rPr>
      <t>657
688</t>
    </r>
  </si>
  <si>
    <r>
      <rPr>
        <sz val="9"/>
        <color rgb="FF221F1F"/>
        <rFont val="Calibri"/>
        <family val="2"/>
        <charset val="162"/>
        <scheme val="minor"/>
      </rPr>
      <t>52,3
64,9</t>
    </r>
  </si>
  <si>
    <r>
      <rPr>
        <sz val="9"/>
        <color rgb="FF221F1F"/>
        <rFont val="Calibri"/>
        <family val="2"/>
        <charset val="162"/>
        <scheme val="minor"/>
      </rPr>
      <t>66,6
82,6</t>
    </r>
  </si>
  <si>
    <r>
      <rPr>
        <sz val="9"/>
        <color rgb="FF221F1F"/>
        <rFont val="Calibri"/>
        <family val="2"/>
        <charset val="162"/>
        <scheme val="minor"/>
      </rPr>
      <t>5852
7154</t>
    </r>
  </si>
  <si>
    <r>
      <rPr>
        <sz val="9"/>
        <color rgb="FF221F1F"/>
        <rFont val="Calibri"/>
        <family val="2"/>
        <charset val="162"/>
        <scheme val="minor"/>
      </rPr>
      <t>9,37
9,31</t>
    </r>
  </si>
  <si>
    <r>
      <rPr>
        <sz val="9"/>
        <color rgb="FF221F1F"/>
        <rFont val="Calibri"/>
        <family val="2"/>
        <charset val="162"/>
        <scheme val="minor"/>
      </rPr>
      <t>429
524</t>
    </r>
  </si>
  <si>
    <r>
      <rPr>
        <sz val="9"/>
        <color rgb="FF221F1F"/>
        <rFont val="Calibri"/>
        <family val="2"/>
        <charset val="162"/>
        <scheme val="minor"/>
      </rPr>
      <t>562
692</t>
    </r>
  </si>
  <si>
    <r>
      <rPr>
        <sz val="9"/>
        <color rgb="FF221F1F"/>
        <rFont val="Calibri"/>
        <family val="2"/>
        <charset val="162"/>
        <scheme val="minor"/>
      </rPr>
      <t>11703
14308</t>
    </r>
  </si>
  <si>
    <r>
      <rPr>
        <sz val="9"/>
        <color rgb="FF221F1F"/>
        <rFont val="Calibri"/>
        <family val="2"/>
        <charset val="162"/>
        <scheme val="minor"/>
      </rPr>
      <t>857
1048</t>
    </r>
  </si>
  <si>
    <r>
      <rPr>
        <sz val="9"/>
        <color rgb="FF221F1F"/>
        <rFont val="Calibri"/>
        <family val="2"/>
        <charset val="162"/>
        <scheme val="minor"/>
      </rPr>
      <t>273,0
323,9</t>
    </r>
  </si>
  <si>
    <r>
      <rPr>
        <sz val="9"/>
        <color rgb="FF221F1F"/>
        <rFont val="Calibri"/>
        <family val="2"/>
        <charset val="162"/>
        <scheme val="minor"/>
      </rPr>
      <t>* 12,0
* 5,0</t>
    </r>
  </si>
  <si>
    <r>
      <rPr>
        <sz val="9"/>
        <color rgb="FF221F1F"/>
        <rFont val="Calibri"/>
        <family val="2"/>
        <charset val="162"/>
        <scheme val="minor"/>
      </rPr>
      <t>77,2
39,3</t>
    </r>
  </si>
  <si>
    <r>
      <rPr>
        <sz val="9"/>
        <color rgb="FF221F1F"/>
        <rFont val="Calibri"/>
        <family val="2"/>
        <charset val="162"/>
        <scheme val="minor"/>
      </rPr>
      <t>98,4
50,1</t>
    </r>
  </si>
  <si>
    <r>
      <rPr>
        <sz val="9"/>
        <color rgb="FF221F1F"/>
        <rFont val="Calibri"/>
        <family val="2"/>
        <charset val="162"/>
        <scheme val="minor"/>
      </rPr>
      <t>0,858
1,020</t>
    </r>
  </si>
  <si>
    <r>
      <rPr>
        <sz val="9"/>
        <color rgb="FF221F1F"/>
        <rFont val="Calibri"/>
        <family val="2"/>
        <charset val="162"/>
        <scheme val="minor"/>
      </rPr>
      <t>8396
6369</t>
    </r>
  </si>
  <si>
    <r>
      <rPr>
        <sz val="9"/>
        <color rgb="FF221F1F"/>
        <rFont val="Calibri"/>
        <family val="2"/>
        <charset val="162"/>
        <scheme val="minor"/>
      </rPr>
      <t>9,24
11,3</t>
    </r>
  </si>
  <si>
    <r>
      <rPr>
        <sz val="9"/>
        <color rgb="FF221F1F"/>
        <rFont val="Calibri"/>
        <family val="2"/>
        <charset val="162"/>
        <scheme val="minor"/>
      </rPr>
      <t>615
393</t>
    </r>
  </si>
  <si>
    <r>
      <rPr>
        <sz val="9"/>
        <color rgb="FF221F1F"/>
        <rFont val="Calibri"/>
        <family val="2"/>
        <charset val="162"/>
        <scheme val="minor"/>
      </rPr>
      <t>818
509</t>
    </r>
  </si>
  <si>
    <r>
      <rPr>
        <sz val="9"/>
        <color rgb="FF221F1F"/>
        <rFont val="Calibri"/>
        <family val="2"/>
        <charset val="162"/>
        <scheme val="minor"/>
      </rPr>
      <t>16792
12739</t>
    </r>
  </si>
  <si>
    <r>
      <rPr>
        <sz val="9"/>
        <color rgb="FF221F1F"/>
        <rFont val="Calibri"/>
        <family val="2"/>
        <charset val="162"/>
        <scheme val="minor"/>
      </rPr>
      <t>1230
787</t>
    </r>
  </si>
  <si>
    <r>
      <rPr>
        <sz val="9"/>
        <color rgb="FF221F1F"/>
        <rFont val="Calibri"/>
        <family val="2"/>
        <charset val="162"/>
        <scheme val="minor"/>
      </rPr>
      <t>323,9
323,9</t>
    </r>
  </si>
  <si>
    <r>
      <rPr>
        <sz val="9"/>
        <color rgb="FF221F1F"/>
        <rFont val="Calibri"/>
        <family val="2"/>
        <charset val="162"/>
        <scheme val="minor"/>
      </rPr>
      <t>47,0
49,3</t>
    </r>
  </si>
  <si>
    <r>
      <rPr>
        <sz val="9"/>
        <color rgb="FF221F1F"/>
        <rFont val="Calibri"/>
        <family val="2"/>
        <charset val="162"/>
        <scheme val="minor"/>
      </rPr>
      <t>59,9
62,9</t>
    </r>
  </si>
  <si>
    <r>
      <rPr>
        <sz val="9"/>
        <color rgb="FF221F1F"/>
        <rFont val="Calibri"/>
        <family val="2"/>
        <charset val="162"/>
        <scheme val="minor"/>
      </rPr>
      <t>1,020
1,020</t>
    </r>
  </si>
  <si>
    <r>
      <rPr>
        <sz val="9"/>
        <color rgb="FF221F1F"/>
        <rFont val="Calibri"/>
        <family val="2"/>
        <charset val="162"/>
        <scheme val="minor"/>
      </rPr>
      <t>7572
7929</t>
    </r>
  </si>
  <si>
    <r>
      <rPr>
        <sz val="9"/>
        <color rgb="FF221F1F"/>
        <rFont val="Calibri"/>
        <family val="2"/>
        <charset val="162"/>
        <scheme val="minor"/>
      </rPr>
      <t>11,2
11,2</t>
    </r>
  </si>
  <si>
    <r>
      <rPr>
        <sz val="9"/>
        <color rgb="FF221F1F"/>
        <rFont val="Calibri"/>
        <family val="2"/>
        <charset val="162"/>
        <scheme val="minor"/>
      </rPr>
      <t>468
490</t>
    </r>
  </si>
  <si>
    <r>
      <rPr>
        <sz val="9"/>
        <color rgb="FF221F1F"/>
        <rFont val="Calibri"/>
        <family val="2"/>
        <charset val="162"/>
        <scheme val="minor"/>
      </rPr>
      <t>606
636</t>
    </r>
  </si>
  <si>
    <r>
      <rPr>
        <sz val="9"/>
        <color rgb="FF221F1F"/>
        <rFont val="Calibri"/>
        <family val="2"/>
        <charset val="162"/>
        <scheme val="minor"/>
      </rPr>
      <t>15145
15858</t>
    </r>
  </si>
  <si>
    <r>
      <rPr>
        <sz val="9"/>
        <color rgb="FF221F1F"/>
        <rFont val="Calibri"/>
        <family val="2"/>
        <charset val="162"/>
        <scheme val="minor"/>
      </rPr>
      <t>935
979</t>
    </r>
  </si>
  <si>
    <r>
      <rPr>
        <sz val="9"/>
        <color rgb="FF221F1F"/>
        <rFont val="Calibri"/>
        <family val="2"/>
        <charset val="162"/>
        <scheme val="minor"/>
      </rPr>
      <t>323,9
323,9
323,9</t>
    </r>
  </si>
  <si>
    <r>
      <rPr>
        <sz val="9"/>
        <color rgb="FF221F1F"/>
        <rFont val="Calibri"/>
        <family val="2"/>
        <charset val="162"/>
        <scheme val="minor"/>
      </rPr>
      <t>* 8,0
* 10,0
* 12,0</t>
    </r>
  </si>
  <si>
    <r>
      <rPr>
        <sz val="9"/>
        <color rgb="FF221F1F"/>
        <rFont val="Calibri"/>
        <family val="2"/>
        <charset val="162"/>
        <scheme val="minor"/>
      </rPr>
      <t>62,3
77,4
92,3</t>
    </r>
  </si>
  <si>
    <r>
      <rPr>
        <sz val="9"/>
        <color rgb="FF221F1F"/>
        <rFont val="Calibri"/>
        <family val="2"/>
        <charset val="162"/>
        <scheme val="minor"/>
      </rPr>
      <t>79,4
98,6
118</t>
    </r>
  </si>
  <si>
    <r>
      <rPr>
        <sz val="9"/>
        <color rgb="FF221F1F"/>
        <rFont val="Calibri"/>
        <family val="2"/>
        <charset val="162"/>
        <scheme val="minor"/>
      </rPr>
      <t>1,020
1,020
1,020</t>
    </r>
  </si>
  <si>
    <r>
      <rPr>
        <sz val="9"/>
        <color rgb="FF221F1F"/>
        <rFont val="Calibri"/>
        <family val="2"/>
        <charset val="162"/>
        <scheme val="minor"/>
      </rPr>
      <t>9910
12158
14320</t>
    </r>
  </si>
  <si>
    <r>
      <rPr>
        <sz val="9"/>
        <color rgb="FF221F1F"/>
        <rFont val="Calibri"/>
        <family val="2"/>
        <charset val="162"/>
        <scheme val="minor"/>
      </rPr>
      <t>11,2
11,1
11,0</t>
    </r>
  </si>
  <si>
    <r>
      <rPr>
        <sz val="9"/>
        <color rgb="FF221F1F"/>
        <rFont val="Calibri"/>
        <family val="2"/>
        <charset val="162"/>
        <scheme val="minor"/>
      </rPr>
      <t>612
751
884</t>
    </r>
  </si>
  <si>
    <r>
      <rPr>
        <sz val="9"/>
        <color rgb="FF221F1F"/>
        <rFont val="Calibri"/>
        <family val="2"/>
        <charset val="162"/>
        <scheme val="minor"/>
      </rPr>
      <t>799
986
1168</t>
    </r>
  </si>
  <si>
    <r>
      <rPr>
        <sz val="9"/>
        <color rgb="FF221F1F"/>
        <rFont val="Calibri"/>
        <family val="2"/>
        <charset val="162"/>
        <scheme val="minor"/>
      </rPr>
      <t>19820
24317
28369</t>
    </r>
  </si>
  <si>
    <r>
      <rPr>
        <sz val="9"/>
        <color rgb="FF221F1F"/>
        <rFont val="Calibri"/>
        <family val="2"/>
        <charset val="162"/>
        <scheme val="minor"/>
      </rPr>
      <t>1224
1501
1768</t>
    </r>
  </si>
  <si>
    <t>Beton Döküm Hızı</t>
  </si>
  <si>
    <t>Perdelerde:</t>
  </si>
  <si>
    <t>Kolonlarda:</t>
  </si>
  <si>
    <t>Beton Isısı:</t>
  </si>
  <si>
    <r>
      <t>S</t>
    </r>
    <r>
      <rPr>
        <sz val="8"/>
        <color theme="1"/>
        <rFont val="Bahnschrift Light"/>
        <family val="2"/>
        <charset val="162"/>
      </rPr>
      <t>l</t>
    </r>
  </si>
  <si>
    <r>
      <t>mm</t>
    </r>
    <r>
      <rPr>
        <vertAlign val="superscript"/>
        <sz val="10"/>
        <color theme="1"/>
        <rFont val="Calibri"/>
        <family val="2"/>
        <charset val="162"/>
        <scheme val="minor"/>
      </rPr>
      <t>3</t>
    </r>
    <r>
      <rPr>
        <sz val="10"/>
        <color theme="1"/>
        <rFont val="Calibri"/>
        <family val="2"/>
        <charset val="162"/>
        <scheme val="minor"/>
      </rPr>
      <t>/m</t>
    </r>
  </si>
  <si>
    <r>
      <t>S</t>
    </r>
    <r>
      <rPr>
        <sz val="8"/>
        <color theme="1"/>
        <rFont val="Bahnschrift Light"/>
        <family val="2"/>
        <charset val="162"/>
      </rPr>
      <t>l</t>
    </r>
    <r>
      <rPr>
        <sz val="11"/>
        <color theme="1"/>
        <rFont val="Bahnschrift Light"/>
        <family val="2"/>
        <charset val="162"/>
      </rPr>
      <t>:</t>
    </r>
  </si>
  <si>
    <r>
      <t>S</t>
    </r>
    <r>
      <rPr>
        <sz val="8"/>
        <color theme="1"/>
        <rFont val="Bahnschrift Light"/>
        <family val="2"/>
        <charset val="162"/>
      </rPr>
      <t>bk</t>
    </r>
    <r>
      <rPr>
        <sz val="11"/>
        <color theme="1"/>
        <rFont val="Bahnschrift Light"/>
        <family val="2"/>
        <charset val="162"/>
      </rPr>
      <t>:</t>
    </r>
  </si>
  <si>
    <r>
      <t>S</t>
    </r>
    <r>
      <rPr>
        <sz val="8"/>
        <color theme="1"/>
        <rFont val="Bahnschrift Light"/>
        <family val="2"/>
        <charset val="162"/>
      </rPr>
      <t>ik</t>
    </r>
    <r>
      <rPr>
        <sz val="11"/>
        <color theme="1"/>
        <rFont val="Bahnschrift Light"/>
        <family val="2"/>
        <charset val="162"/>
      </rPr>
      <t>:</t>
    </r>
  </si>
  <si>
    <r>
      <t>A</t>
    </r>
    <r>
      <rPr>
        <sz val="8"/>
        <color theme="1"/>
        <rFont val="Bahnschrift Light"/>
        <family val="2"/>
        <charset val="162"/>
      </rPr>
      <t>l</t>
    </r>
    <r>
      <rPr>
        <sz val="11"/>
        <color theme="1"/>
        <rFont val="Bahnschrift Light"/>
        <family val="2"/>
        <charset val="162"/>
      </rPr>
      <t>:</t>
    </r>
  </si>
  <si>
    <r>
      <t>b</t>
    </r>
    <r>
      <rPr>
        <sz val="8"/>
        <color theme="1"/>
        <rFont val="Bahnschrift Light"/>
        <family val="2"/>
        <charset val="162"/>
      </rPr>
      <t>l</t>
    </r>
    <r>
      <rPr>
        <sz val="11"/>
        <color theme="1"/>
        <rFont val="Bahnschrift Light"/>
        <family val="2"/>
        <charset val="162"/>
      </rPr>
      <t>:</t>
    </r>
  </si>
  <si>
    <r>
      <t>A</t>
    </r>
    <r>
      <rPr>
        <sz val="8"/>
        <color theme="1"/>
        <rFont val="Bahnschrift Light"/>
        <family val="2"/>
        <charset val="162"/>
      </rPr>
      <t>bk</t>
    </r>
    <r>
      <rPr>
        <sz val="11"/>
        <color theme="1"/>
        <rFont val="Bahnschrift Light"/>
        <family val="2"/>
        <charset val="162"/>
      </rPr>
      <t>:</t>
    </r>
  </si>
  <si>
    <r>
      <t>b</t>
    </r>
    <r>
      <rPr>
        <sz val="8"/>
        <color theme="1"/>
        <rFont val="Bahnschrift Light"/>
        <family val="2"/>
        <charset val="162"/>
      </rPr>
      <t>bk</t>
    </r>
    <r>
      <rPr>
        <sz val="11"/>
        <color theme="1"/>
        <rFont val="Bahnschrift Light"/>
        <family val="2"/>
        <charset val="162"/>
      </rPr>
      <t>:</t>
    </r>
  </si>
  <si>
    <t>b</t>
  </si>
  <si>
    <r>
      <t>A</t>
    </r>
    <r>
      <rPr>
        <sz val="8"/>
        <color theme="1"/>
        <rFont val="Bahnschrift Light"/>
        <family val="2"/>
        <charset val="162"/>
      </rPr>
      <t>ik</t>
    </r>
    <r>
      <rPr>
        <sz val="11"/>
        <color theme="1"/>
        <rFont val="Bahnschrift Light"/>
        <family val="2"/>
        <charset val="162"/>
      </rPr>
      <t>:</t>
    </r>
  </si>
  <si>
    <r>
      <t>b</t>
    </r>
    <r>
      <rPr>
        <sz val="8"/>
        <color theme="1"/>
        <rFont val="Bahnschrift Light"/>
        <family val="2"/>
        <charset val="162"/>
      </rPr>
      <t>ik</t>
    </r>
    <r>
      <rPr>
        <sz val="11"/>
        <color theme="1"/>
        <rFont val="Bahnschrift Light"/>
        <family val="2"/>
        <charset val="162"/>
      </rPr>
      <t>:</t>
    </r>
  </si>
  <si>
    <t>seçilen 1. destek kiriş aralığı</t>
  </si>
  <si>
    <t>seçilen 2. destek kiriş aralığı</t>
  </si>
  <si>
    <r>
      <t>p</t>
    </r>
    <r>
      <rPr>
        <sz val="8"/>
        <color theme="1"/>
        <rFont val="Calibri"/>
        <family val="2"/>
        <charset val="162"/>
        <scheme val="minor"/>
      </rPr>
      <t>maks</t>
    </r>
    <r>
      <rPr>
        <sz val="11"/>
        <color theme="1"/>
        <rFont val="Calibri"/>
        <family val="2"/>
        <charset val="162"/>
        <scheme val="minor"/>
      </rPr>
      <t>=</t>
    </r>
  </si>
  <si>
    <t>Perde:</t>
  </si>
  <si>
    <t>Kolon:</t>
  </si>
  <si>
    <r>
      <t>L</t>
    </r>
    <r>
      <rPr>
        <b/>
        <sz val="8"/>
        <color theme="1"/>
        <rFont val="Calibri"/>
        <family val="2"/>
        <charset val="162"/>
        <scheme val="minor"/>
      </rPr>
      <t>bk</t>
    </r>
    <r>
      <rPr>
        <b/>
        <sz val="11"/>
        <color theme="1"/>
        <rFont val="Calibri"/>
        <family val="2"/>
        <charset val="162"/>
        <scheme val="minor"/>
      </rPr>
      <t>=</t>
    </r>
  </si>
  <si>
    <r>
      <t>L</t>
    </r>
    <r>
      <rPr>
        <b/>
        <sz val="8"/>
        <color theme="1"/>
        <rFont val="Calibri"/>
        <family val="2"/>
        <charset val="162"/>
        <scheme val="minor"/>
      </rPr>
      <t>ik</t>
    </r>
    <r>
      <rPr>
        <b/>
        <sz val="11"/>
        <color theme="1"/>
        <rFont val="Calibri"/>
        <family val="2"/>
        <charset val="162"/>
        <scheme val="minor"/>
      </rPr>
      <t>=</t>
    </r>
  </si>
  <si>
    <t>Döşemelerde Kalıp Elemanları ve Yerleşimlerinin Hesapları</t>
  </si>
  <si>
    <t>n:</t>
  </si>
  <si>
    <t>(Dikmelerin ardışık olarak kurulu olduğu kat adedi)</t>
  </si>
  <si>
    <t>seçilen dikme aralığı</t>
  </si>
  <si>
    <r>
      <t>L</t>
    </r>
    <r>
      <rPr>
        <b/>
        <sz val="8"/>
        <color theme="1"/>
        <rFont val="Calibri"/>
        <family val="2"/>
        <charset val="162"/>
        <scheme val="minor"/>
      </rPr>
      <t>d</t>
    </r>
    <r>
      <rPr>
        <b/>
        <sz val="11"/>
        <color theme="1"/>
        <rFont val="Calibri"/>
        <family val="2"/>
        <charset val="162"/>
        <scheme val="minor"/>
      </rPr>
      <t>=</t>
    </r>
  </si>
  <si>
    <t>Kirişlerde Kalıp Elemanları ve Yerleşimlerinin Hesapları</t>
  </si>
  <si>
    <t>Kiriş Ölçüleri</t>
  </si>
  <si>
    <t>b=</t>
  </si>
  <si>
    <t>h=</t>
  </si>
  <si>
    <t>p=</t>
  </si>
  <si>
    <t>p (G+Q)=</t>
  </si>
  <si>
    <t>TİP-1</t>
  </si>
  <si>
    <t>Ld=</t>
  </si>
  <si>
    <t>TİP-2</t>
  </si>
  <si>
    <t>30mm Kalas</t>
  </si>
  <si>
    <t>(Tip-2 için bu aralık kiriş genişliği kadar seçilmeli)</t>
  </si>
  <si>
    <t>TİP-1 VE TİP-3 İÇİN:</t>
  </si>
  <si>
    <t>TİP-2 İÇİN:</t>
  </si>
  <si>
    <t>Dikmeye gelen yük:</t>
  </si>
  <si>
    <t>TİP-3</t>
  </si>
  <si>
    <t>Kesitte Dikme Adedi:</t>
  </si>
  <si>
    <t>Tip-1</t>
  </si>
  <si>
    <t>Tip-2</t>
  </si>
  <si>
    <t>Tip-3</t>
  </si>
  <si>
    <t>Kiriş Destekleme Tipi:</t>
  </si>
  <si>
    <t>n=</t>
  </si>
  <si>
    <r>
      <t>G</t>
    </r>
    <r>
      <rPr>
        <sz val="8"/>
        <color theme="1"/>
        <rFont val="Calibri"/>
        <family val="2"/>
        <charset val="162"/>
        <scheme val="minor"/>
      </rPr>
      <t>K</t>
    </r>
    <r>
      <rPr>
        <sz val="11"/>
        <color theme="1"/>
        <rFont val="Calibri"/>
        <family val="2"/>
        <charset val="162"/>
        <scheme val="minor"/>
      </rPr>
      <t>*p</t>
    </r>
    <r>
      <rPr>
        <sz val="8"/>
        <color theme="1"/>
        <rFont val="Calibri"/>
        <family val="2"/>
        <charset val="162"/>
        <scheme val="minor"/>
      </rPr>
      <t>d</t>
    </r>
    <r>
      <rPr>
        <sz val="11"/>
        <color theme="1"/>
        <rFont val="Calibri"/>
        <family val="2"/>
        <charset val="162"/>
        <scheme val="minor"/>
      </rPr>
      <t>*A</t>
    </r>
    <r>
      <rPr>
        <sz val="8"/>
        <color theme="1"/>
        <rFont val="Calibri"/>
        <family val="2"/>
        <charset val="162"/>
        <scheme val="minor"/>
      </rPr>
      <t>d</t>
    </r>
  </si>
  <si>
    <t>Yan Kalıp Malzemesi:</t>
  </si>
  <si>
    <t>Yan Kalıp Malzemesi</t>
  </si>
  <si>
    <t>Taban Kalıp Malzemesi</t>
  </si>
  <si>
    <t>KOLON VE PERDE KALIBI HESAPLARI</t>
  </si>
  <si>
    <t>H20</t>
  </si>
  <si>
    <t>B</t>
  </si>
  <si>
    <t>C</t>
  </si>
  <si>
    <t>H</t>
  </si>
  <si>
    <t>2NPU80</t>
  </si>
  <si>
    <t>2NPU100</t>
  </si>
  <si>
    <t>PL80x6</t>
  </si>
  <si>
    <t>PL60x6</t>
  </si>
  <si>
    <t>B:</t>
  </si>
  <si>
    <t>H:</t>
  </si>
  <si>
    <t>Kolon Ölçüleri</t>
  </si>
  <si>
    <t>Perde Ölçüleri</t>
  </si>
  <si>
    <t>Kalınlık:</t>
  </si>
  <si>
    <t>Uzunluk:</t>
  </si>
  <si>
    <t>Yükseklik:</t>
  </si>
  <si>
    <r>
      <t>L</t>
    </r>
    <r>
      <rPr>
        <sz val="8"/>
        <color theme="1"/>
        <rFont val="Calibri"/>
        <family val="2"/>
        <charset val="162"/>
        <scheme val="minor"/>
      </rPr>
      <t>ef</t>
    </r>
    <r>
      <rPr>
        <sz val="11"/>
        <color theme="1"/>
        <rFont val="Calibri"/>
        <family val="2"/>
        <charset val="162"/>
        <scheme val="minor"/>
      </rPr>
      <t>:</t>
    </r>
  </si>
  <si>
    <r>
      <t>P</t>
    </r>
    <r>
      <rPr>
        <sz val="8"/>
        <color theme="1"/>
        <rFont val="Calibri"/>
        <family val="2"/>
        <charset val="162"/>
        <scheme val="minor"/>
      </rPr>
      <t>max</t>
    </r>
    <r>
      <rPr>
        <sz val="11"/>
        <color theme="1"/>
        <rFont val="Calibri"/>
        <family val="2"/>
        <charset val="162"/>
        <scheme val="minor"/>
      </rPr>
      <t>/</t>
    </r>
    <r>
      <rPr>
        <sz val="11"/>
        <color theme="1"/>
        <rFont val="Symbol"/>
        <family val="1"/>
        <charset val="2"/>
      </rPr>
      <t>g</t>
    </r>
    <r>
      <rPr>
        <sz val="8"/>
        <color theme="1"/>
        <rFont val="Calibri"/>
        <family val="2"/>
        <charset val="162"/>
        <scheme val="minor"/>
      </rPr>
      <t>b</t>
    </r>
    <r>
      <rPr>
        <sz val="11"/>
        <color theme="1"/>
        <rFont val="Calibri"/>
        <family val="2"/>
        <charset val="162"/>
        <scheme val="minor"/>
      </rPr>
      <t>:</t>
    </r>
  </si>
  <si>
    <t>Kolonlarda Kalıp Elemanları ve Yerleşimlerinin Hesapları</t>
  </si>
  <si>
    <t>Tie-Rod</t>
  </si>
  <si>
    <t>Kapasite</t>
  </si>
  <si>
    <t>Ø10mm çiroz</t>
  </si>
  <si>
    <t>Bağlantı:</t>
  </si>
  <si>
    <r>
      <t>L</t>
    </r>
    <r>
      <rPr>
        <b/>
        <sz val="8"/>
        <color theme="1"/>
        <rFont val="Calibri"/>
        <family val="2"/>
        <charset val="162"/>
        <scheme val="minor"/>
      </rPr>
      <t>b</t>
    </r>
    <r>
      <rPr>
        <b/>
        <sz val="11"/>
        <color theme="1"/>
        <rFont val="Calibri"/>
        <family val="2"/>
        <charset val="162"/>
        <scheme val="minor"/>
      </rPr>
      <t>=</t>
    </r>
  </si>
  <si>
    <t>seçilen gergi aralığı</t>
  </si>
  <si>
    <t>Perdelerde Kalıp Elemanları ve Yerleşimlerinin Hesapları</t>
  </si>
  <si>
    <t>Kolon üst kotu:</t>
  </si>
  <si>
    <t>Rüzgar Yükü:</t>
  </si>
  <si>
    <t>1. Payanda Bağlantısı:</t>
  </si>
  <si>
    <t>2. Payanda Bağlantısı:</t>
  </si>
  <si>
    <t>D. K. Adedi:</t>
  </si>
  <si>
    <t>Yok</t>
  </si>
  <si>
    <t>1. Payanda açısı:</t>
  </si>
  <si>
    <t>2. Payanda açısı:</t>
  </si>
  <si>
    <t>H1=</t>
  </si>
  <si>
    <t>H2=</t>
  </si>
  <si>
    <t>L1=</t>
  </si>
  <si>
    <t>L2=</t>
  </si>
  <si>
    <t>Kolonlarda Kalıp Payandaları Yerleşimlerinin Hesapları</t>
  </si>
  <si>
    <t>Emme -q -kN/m2</t>
  </si>
  <si>
    <t>Hız - v - m/s</t>
  </si>
  <si>
    <t>Seviye - m</t>
  </si>
  <si>
    <t>Katsayı</t>
  </si>
  <si>
    <t>1. Payanda Eksenel Yükü:</t>
  </si>
  <si>
    <t>2. Payanda Eksenel Yükü:</t>
  </si>
  <si>
    <t>1. Payanda Taşıma Kap.:</t>
  </si>
  <si>
    <t>2. Payanda Taşıma Kap.:</t>
  </si>
  <si>
    <t>Telekobik Dikme</t>
  </si>
  <si>
    <t>Push-Pull Prop</t>
  </si>
  <si>
    <t>Payanda Tipi:</t>
  </si>
  <si>
    <t>10x10 Ahşap</t>
  </si>
  <si>
    <r>
      <t>P</t>
    </r>
    <r>
      <rPr>
        <b/>
        <sz val="8"/>
        <color theme="1"/>
        <rFont val="Calibri"/>
        <family val="2"/>
        <charset val="162"/>
        <scheme val="minor"/>
      </rPr>
      <t>kr</t>
    </r>
  </si>
  <si>
    <t>Perdelerde Kalıp Payandaları Yerleşimlerinin Hesapları</t>
  </si>
  <si>
    <t>Perde üst kotu:</t>
  </si>
  <si>
    <t>1.Sıra</t>
  </si>
  <si>
    <t>2.Sıra</t>
  </si>
  <si>
    <t>Perde Gergi Bağlantı Elemanları Aralığı Hesabı</t>
  </si>
  <si>
    <t>Kiriş Yan Kalıp Gergi Bağlantı AralığıI Hesabı</t>
  </si>
  <si>
    <t>Kiriş Yan Kalıp Levhası ve Destekleri Hesabı</t>
  </si>
  <si>
    <t>Kiriş Alt Kalıp Levhası ve Destekleri Hesabı</t>
  </si>
  <si>
    <t>Kiriş Dikmeleri Hesabı</t>
  </si>
  <si>
    <t>Kolon Kuşak Bağlantı Elemanları Aralığı Hesabı</t>
  </si>
  <si>
    <t>Taban Kalıp Malzemesi:</t>
  </si>
  <si>
    <t>(Tip-1 için 2. destek kirişi yok)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</si>
</sst>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0.0"/>
    <numFmt numFmtId="165" formatCode="0&quot;m/sa&quot;"/>
    <numFmt numFmtId="166" formatCode="0&quot;C⁰&quot;"/>
    <numFmt numFmtId="167" formatCode="#,##0&quot;KN/m³&quot;"/>
    <numFmt numFmtId="168" formatCode="#,##0&quot;cm&quot;"/>
    <numFmt numFmtId="169" formatCode="#,##0.0&quot;KN/m²&quot;"/>
    <numFmt numFmtId="170" formatCode="0&quot;MPa&quot;"/>
    <numFmt numFmtId="171" formatCode="0.0&quot;MPa&quot;"/>
    <numFmt numFmtId="172" formatCode="0&quot;cm&quot;"/>
    <numFmt numFmtId="173" formatCode="0.00&quot;KN&quot;"/>
    <numFmt numFmtId="174" formatCode="0&quot;mm⁴&quot;"/>
    <numFmt numFmtId="175" formatCode="0&quot;mm³&quot;"/>
    <numFmt numFmtId="176" formatCode="&quot;=&quot;0&quot;mm&quot;"/>
    <numFmt numFmtId="177" formatCode="0&quot;mm²&quot;"/>
    <numFmt numFmtId="178" formatCode="0&quot;mm&quot;"/>
    <numFmt numFmtId="179" formatCode="#,##0.00&quot;KN/m²&quot;"/>
    <numFmt numFmtId="180" formatCode="#,##0.0&quot;m&quot;"/>
    <numFmt numFmtId="181" formatCode="0&quot;KN&quot;"/>
    <numFmt numFmtId="182" formatCode="0.0&quot;m&quot;"/>
    <numFmt numFmtId="183" formatCode="0&quot;. Sıra Destek Kirişi&quot;"/>
    <numFmt numFmtId="184" formatCode="0.00&quot;⁰&quot;"/>
    <numFmt numFmtId="185" formatCode="0.0&quot;KN/mt&quot;"/>
    <numFmt numFmtId="186" formatCode="0.0&quot;KN&quot;"/>
  </numFmts>
  <fonts count="40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u/>
      <sz val="11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sz val="11"/>
      <color theme="1"/>
      <name val="Bahnschrift Light"/>
      <family val="2"/>
      <charset val="162"/>
    </font>
    <font>
      <sz val="8"/>
      <color theme="1"/>
      <name val="Bahnschrift Light"/>
      <family val="2"/>
      <charset val="162"/>
    </font>
    <font>
      <vertAlign val="superscript"/>
      <sz val="11"/>
      <color theme="1"/>
      <name val="Calibri"/>
      <family val="2"/>
      <charset val="162"/>
      <scheme val="minor"/>
    </font>
    <font>
      <vertAlign val="superscript"/>
      <sz val="10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sz val="10"/>
      <name val="Times New Roman"/>
      <family val="1"/>
      <charset val="162"/>
    </font>
    <font>
      <sz val="10"/>
      <color rgb="FF211E1F"/>
      <name val="Times New Roman"/>
      <family val="1"/>
    </font>
    <font>
      <vertAlign val="superscript"/>
      <sz val="5.5"/>
      <color rgb="FF211E1F"/>
      <name val="Times New Roman"/>
      <family val="1"/>
    </font>
    <font>
      <sz val="11"/>
      <color rgb="FF211E1F"/>
      <name val="Times New Roman"/>
      <family val="1"/>
    </font>
    <font>
      <sz val="10"/>
      <color rgb="FF211E1F"/>
      <name val="Times New Roman"/>
      <family val="2"/>
    </font>
    <font>
      <sz val="10"/>
      <color rgb="FF211E1F"/>
      <name val="Arial Tur"/>
      <charset val="162"/>
    </font>
    <font>
      <sz val="10"/>
      <color rgb="FF211E1F"/>
      <name val="Times New Roman"/>
      <family val="1"/>
      <charset val="162"/>
    </font>
    <font>
      <sz val="10"/>
      <name val="Times New Roman"/>
      <family val="1"/>
    </font>
    <font>
      <b/>
      <sz val="9"/>
      <color rgb="FF666666"/>
      <name val="Arial"/>
      <family val="2"/>
      <charset val="162"/>
    </font>
    <font>
      <sz val="9"/>
      <color rgb="FF666666"/>
      <name val="Arial"/>
      <family val="2"/>
      <charset val="162"/>
    </font>
    <font>
      <sz val="10"/>
      <color rgb="FF211F1F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10"/>
      <color rgb="FF211F1F"/>
      <name val="Calibri"/>
      <family val="2"/>
      <charset val="162"/>
      <scheme val="minor"/>
    </font>
    <font>
      <sz val="10"/>
      <color rgb="FF211F1F"/>
      <name val="Arial Tur"/>
      <charset val="162"/>
    </font>
    <font>
      <b/>
      <sz val="11"/>
      <name val="Calibri"/>
      <family val="2"/>
      <charset val="162"/>
      <scheme val="minor"/>
    </font>
    <font>
      <b/>
      <sz val="11"/>
      <color rgb="FF211F1F"/>
      <name val="Calibri"/>
      <family val="2"/>
      <charset val="162"/>
      <scheme val="minor"/>
    </font>
    <font>
      <sz val="8"/>
      <name val="Arial"/>
      <family val="2"/>
      <charset val="162"/>
    </font>
    <font>
      <sz val="10"/>
      <color rgb="FF2D2A2A"/>
      <name val="Courier New"/>
      <family val="2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rgb="FF221F1F"/>
      <name val="Calibri"/>
      <family val="2"/>
      <charset val="162"/>
      <scheme val="minor"/>
    </font>
    <font>
      <sz val="9"/>
      <color rgb="FF000000"/>
      <name val="Calibri"/>
      <family val="2"/>
      <charset val="162"/>
      <scheme val="minor"/>
    </font>
    <font>
      <b/>
      <vertAlign val="superscript"/>
      <sz val="9"/>
      <color rgb="FF221F1F"/>
      <name val="Calibri"/>
      <family val="2"/>
      <charset val="162"/>
      <scheme val="minor"/>
    </font>
    <font>
      <sz val="9"/>
      <color rgb="FF221F1F"/>
      <name val="Calibri"/>
      <family val="2"/>
      <charset val="162"/>
      <scheme val="minor"/>
    </font>
    <font>
      <sz val="11"/>
      <color theme="1"/>
      <name val="Arial Tur"/>
      <charset val="162"/>
    </font>
    <font>
      <b/>
      <sz val="8"/>
      <color theme="1"/>
      <name val="Calibri"/>
      <family val="2"/>
      <charset val="162"/>
      <scheme val="minor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  <font>
      <sz val="11"/>
      <color theme="1"/>
      <name val="Symbol"/>
      <family val="1"/>
      <charset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221F1F"/>
      </left>
      <right style="thin">
        <color rgb="FF221F1F"/>
      </right>
      <top style="thin">
        <color rgb="FF221F1F"/>
      </top>
      <bottom style="thin">
        <color rgb="FF221F1F"/>
      </bottom>
      <diagonal/>
    </border>
    <border>
      <left style="thin">
        <color rgb="FF221F1F"/>
      </left>
      <right/>
      <top style="thin">
        <color rgb="FF221F1F"/>
      </top>
      <bottom style="thin">
        <color rgb="FF221F1F"/>
      </bottom>
      <diagonal/>
    </border>
    <border>
      <left/>
      <right style="thin">
        <color rgb="FF221F1F"/>
      </right>
      <top style="thin">
        <color rgb="FF221F1F"/>
      </top>
      <bottom style="thin">
        <color rgb="FF221F1F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86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4" xfId="0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9" xfId="0" applyBorder="1"/>
    <xf numFmtId="0" fontId="0" fillId="0" borderId="13" xfId="0" applyBorder="1"/>
    <xf numFmtId="0" fontId="0" fillId="0" borderId="0" xfId="0" applyBorder="1" applyAlignment="1">
      <alignment horizontal="center"/>
    </xf>
    <xf numFmtId="0" fontId="0" fillId="0" borderId="21" xfId="0" applyBorder="1"/>
    <xf numFmtId="0" fontId="0" fillId="0" borderId="23" xfId="0" applyBorder="1"/>
    <xf numFmtId="1" fontId="0" fillId="0" borderId="21" xfId="0" applyNumberFormat="1" applyBorder="1"/>
    <xf numFmtId="1" fontId="0" fillId="0" borderId="0" xfId="0" applyNumberFormat="1" applyBorder="1"/>
    <xf numFmtId="1" fontId="0" fillId="0" borderId="23" xfId="0" applyNumberFormat="1" applyBorder="1"/>
    <xf numFmtId="0" fontId="0" fillId="0" borderId="24" xfId="0" applyBorder="1"/>
    <xf numFmtId="0" fontId="0" fillId="0" borderId="20" xfId="0" applyBorder="1"/>
    <xf numFmtId="0" fontId="0" fillId="0" borderId="25" xfId="0" applyBorder="1"/>
    <xf numFmtId="0" fontId="0" fillId="0" borderId="2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2" xfId="0" applyBorder="1"/>
    <xf numFmtId="0" fontId="0" fillId="0" borderId="26" xfId="0" applyBorder="1"/>
    <xf numFmtId="0" fontId="0" fillId="0" borderId="18" xfId="0" applyBorder="1"/>
    <xf numFmtId="1" fontId="0" fillId="0" borderId="22" xfId="0" applyNumberFormat="1" applyBorder="1"/>
    <xf numFmtId="1" fontId="0" fillId="0" borderId="26" xfId="0" applyNumberFormat="1" applyBorder="1"/>
    <xf numFmtId="1" fontId="0" fillId="0" borderId="18" xfId="0" applyNumberFormat="1" applyBorder="1"/>
    <xf numFmtId="0" fontId="0" fillId="0" borderId="0" xfId="0" applyBorder="1" applyAlignment="1">
      <alignment horizontal="left"/>
    </xf>
    <xf numFmtId="0" fontId="0" fillId="0" borderId="8" xfId="0" applyBorder="1"/>
    <xf numFmtId="0" fontId="0" fillId="0" borderId="3" xfId="0" applyBorder="1"/>
    <xf numFmtId="0" fontId="0" fillId="0" borderId="0" xfId="0" applyAlignment="1">
      <alignment horizontal="right" vertical="center"/>
    </xf>
    <xf numFmtId="1" fontId="0" fillId="0" borderId="9" xfId="0" applyNumberFormat="1" applyBorder="1" applyAlignment="1">
      <alignment horizontal="center" vertical="center"/>
    </xf>
    <xf numFmtId="1" fontId="0" fillId="0" borderId="0" xfId="0" applyNumberFormat="1" applyBorder="1" applyAlignment="1"/>
    <xf numFmtId="2" fontId="0" fillId="0" borderId="22" xfId="0" applyNumberForma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 textRotation="90" wrapText="1"/>
    </xf>
    <xf numFmtId="0" fontId="32" fillId="0" borderId="27" xfId="0" applyFont="1" applyBorder="1" applyAlignment="1">
      <alignment horizontal="center" vertical="center" wrapText="1"/>
    </xf>
    <xf numFmtId="0" fontId="30" fillId="0" borderId="27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top" wrapText="1"/>
    </xf>
    <xf numFmtId="0" fontId="32" fillId="0" borderId="27" xfId="0" applyFont="1" applyBorder="1" applyAlignment="1">
      <alignment horizontal="left" vertical="top" wrapText="1" indent="2"/>
    </xf>
    <xf numFmtId="0" fontId="32" fillId="0" borderId="27" xfId="0" applyFont="1" applyBorder="1" applyAlignment="1">
      <alignment horizontal="left" vertical="top" wrapText="1" indent="1"/>
    </xf>
    <xf numFmtId="0" fontId="0" fillId="0" borderId="0" xfId="0" applyBorder="1" applyAlignment="1">
      <alignment horizontal="left" vertical="center"/>
    </xf>
    <xf numFmtId="2" fontId="0" fillId="0" borderId="0" xfId="0" applyNumberFormat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0" fillId="0" borderId="0" xfId="0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7" xfId="0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/>
    <xf numFmtId="172" fontId="0" fillId="0" borderId="0" xfId="0" applyNumberFormat="1" applyBorder="1" applyAlignment="1">
      <alignment vertical="center"/>
    </xf>
    <xf numFmtId="173" fontId="0" fillId="0" borderId="7" xfId="0" applyNumberFormat="1" applyBorder="1" applyAlignment="1">
      <alignment vertical="center"/>
    </xf>
    <xf numFmtId="0" fontId="0" fillId="0" borderId="5" xfId="0" applyBorder="1" applyAlignment="1">
      <alignment vertical="center"/>
    </xf>
    <xf numFmtId="172" fontId="0" fillId="0" borderId="5" xfId="0" applyNumberFormat="1" applyBorder="1" applyAlignment="1">
      <alignment vertical="center"/>
    </xf>
    <xf numFmtId="173" fontId="0" fillId="0" borderId="8" xfId="0" applyNumberFormat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176" fontId="0" fillId="0" borderId="0" xfId="0" applyNumberFormat="1" applyBorder="1" applyAlignment="1">
      <alignment vertical="center"/>
    </xf>
    <xf numFmtId="0" fontId="0" fillId="0" borderId="4" xfId="0" applyBorder="1" applyAlignment="1">
      <alignment horizontal="right" vertical="center"/>
    </xf>
    <xf numFmtId="0" fontId="0" fillId="0" borderId="38" xfId="0" applyBorder="1" applyAlignment="1">
      <alignment horizontal="right" vertical="center"/>
    </xf>
    <xf numFmtId="0" fontId="0" fillId="0" borderId="26" xfId="0" applyBorder="1" applyAlignment="1">
      <alignment vertical="center"/>
    </xf>
    <xf numFmtId="0" fontId="0" fillId="0" borderId="39" xfId="0" applyBorder="1" applyAlignment="1">
      <alignment vertical="center"/>
    </xf>
    <xf numFmtId="0" fontId="3" fillId="0" borderId="40" xfId="0" applyFont="1" applyBorder="1" applyAlignment="1">
      <alignment vertical="center"/>
    </xf>
    <xf numFmtId="0" fontId="3" fillId="0" borderId="41" xfId="0" applyFont="1" applyBorder="1" applyAlignment="1">
      <alignment vertical="center"/>
    </xf>
    <xf numFmtId="172" fontId="1" fillId="0" borderId="0" xfId="0" applyNumberFormat="1" applyFont="1" applyBorder="1" applyAlignment="1">
      <alignment vertical="center"/>
    </xf>
    <xf numFmtId="0" fontId="0" fillId="0" borderId="5" xfId="0" applyBorder="1" applyAlignment="1">
      <alignment horizontal="left"/>
    </xf>
    <xf numFmtId="0" fontId="29" fillId="0" borderId="7" xfId="0" applyFont="1" applyBorder="1" applyAlignment="1">
      <alignment horizontal="right" vertical="center"/>
    </xf>
    <xf numFmtId="173" fontId="0" fillId="0" borderId="0" xfId="0" applyNumberFormat="1" applyBorder="1" applyAlignment="1">
      <alignment vertical="center"/>
    </xf>
    <xf numFmtId="173" fontId="0" fillId="0" borderId="5" xfId="0" applyNumberFormat="1" applyBorder="1" applyAlignment="1">
      <alignment vertical="center"/>
    </xf>
    <xf numFmtId="0" fontId="0" fillId="0" borderId="15" xfId="0" applyBorder="1"/>
    <xf numFmtId="0" fontId="0" fillId="0" borderId="16" xfId="0" applyBorder="1"/>
    <xf numFmtId="11" fontId="0" fillId="0" borderId="0" xfId="0" applyNumberFormat="1"/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2" fillId="0" borderId="0" xfId="0" applyFont="1" applyAlignment="1">
      <alignment vertical="center"/>
    </xf>
    <xf numFmtId="180" fontId="0" fillId="0" borderId="0" xfId="0" applyNumberFormat="1" applyBorder="1" applyAlignment="1">
      <alignment vertical="center"/>
    </xf>
    <xf numFmtId="169" fontId="0" fillId="0" borderId="0" xfId="0" applyNumberFormat="1" applyBorder="1" applyAlignment="1">
      <alignment vertical="center"/>
    </xf>
    <xf numFmtId="0" fontId="0" fillId="2" borderId="0" xfId="0" applyFill="1"/>
    <xf numFmtId="0" fontId="0" fillId="2" borderId="2" xfId="0" applyFill="1" applyBorder="1" applyAlignment="1">
      <alignment horizontal="center" vertical="center"/>
    </xf>
    <xf numFmtId="0" fontId="0" fillId="2" borderId="1" xfId="0" applyFill="1" applyBorder="1"/>
    <xf numFmtId="0" fontId="0" fillId="2" borderId="2" xfId="0" applyFill="1" applyBorder="1"/>
    <xf numFmtId="0" fontId="0" fillId="2" borderId="4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ill="1" applyBorder="1"/>
    <xf numFmtId="0" fontId="35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0" fillId="2" borderId="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4" xfId="0" applyFill="1" applyBorder="1" applyAlignment="1">
      <alignment horizontal="left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/>
    <xf numFmtId="0" fontId="0" fillId="2" borderId="13" xfId="0" applyFill="1" applyBorder="1"/>
    <xf numFmtId="0" fontId="0" fillId="2" borderId="13" xfId="0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164" fontId="4" fillId="2" borderId="9" xfId="0" applyNumberFormat="1" applyFont="1" applyFill="1" applyBorder="1" applyAlignment="1">
      <alignment horizontal="center" vertical="center"/>
    </xf>
    <xf numFmtId="2" fontId="4" fillId="2" borderId="9" xfId="0" applyNumberFormat="1" applyFont="1" applyFill="1" applyBorder="1" applyAlignment="1">
      <alignment horizontal="center" vertical="center"/>
    </xf>
    <xf numFmtId="2" fontId="4" fillId="2" borderId="9" xfId="0" applyNumberFormat="1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164" fontId="4" fillId="2" borderId="16" xfId="0" applyNumberFormat="1" applyFont="1" applyFill="1" applyBorder="1" applyAlignment="1">
      <alignment horizontal="center" vertical="center"/>
    </xf>
    <xf numFmtId="2" fontId="4" fillId="2" borderId="16" xfId="0" applyNumberFormat="1" applyFont="1" applyFill="1" applyBorder="1" applyAlignment="1">
      <alignment horizontal="center" vertical="center"/>
    </xf>
    <xf numFmtId="2" fontId="4" fillId="2" borderId="16" xfId="0" applyNumberFormat="1" applyFont="1" applyFill="1" applyBorder="1" applyAlignment="1">
      <alignment horizontal="left" vertical="center"/>
    </xf>
    <xf numFmtId="0" fontId="4" fillId="2" borderId="17" xfId="0" applyFont="1" applyFill="1" applyBorder="1" applyAlignment="1">
      <alignment horizontal="center" vertical="center"/>
    </xf>
    <xf numFmtId="0" fontId="0" fillId="2" borderId="4" xfId="0" applyFill="1" applyBorder="1"/>
    <xf numFmtId="0" fontId="0" fillId="2" borderId="3" xfId="0" applyFill="1" applyBorder="1"/>
    <xf numFmtId="0" fontId="0" fillId="2" borderId="5" xfId="0" applyFill="1" applyBorder="1"/>
    <xf numFmtId="0" fontId="4" fillId="2" borderId="0" xfId="0" applyFont="1" applyFill="1" applyBorder="1"/>
    <xf numFmtId="0" fontId="0" fillId="2" borderId="0" xfId="0" applyFill="1" applyBorder="1" applyAlignment="1"/>
    <xf numFmtId="0" fontId="2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left"/>
    </xf>
    <xf numFmtId="0" fontId="3" fillId="2" borderId="0" xfId="0" applyFont="1" applyFill="1" applyBorder="1" applyAlignment="1"/>
    <xf numFmtId="0" fontId="0" fillId="2" borderId="7" xfId="0" applyFill="1" applyBorder="1" applyAlignment="1"/>
    <xf numFmtId="0" fontId="0" fillId="2" borderId="0" xfId="0" applyFill="1" applyAlignment="1"/>
    <xf numFmtId="0" fontId="0" fillId="2" borderId="4" xfId="0" applyFill="1" applyBorder="1" applyAlignment="1"/>
    <xf numFmtId="0" fontId="27" fillId="2" borderId="0" xfId="0" applyFont="1" applyFill="1" applyBorder="1" applyAlignment="1"/>
    <xf numFmtId="0" fontId="27" fillId="2" borderId="0" xfId="0" applyFont="1" applyFill="1" applyBorder="1" applyAlignment="1">
      <alignment horizontal="left"/>
    </xf>
    <xf numFmtId="0" fontId="0" fillId="2" borderId="0" xfId="0" applyFill="1" applyBorder="1" applyAlignment="1">
      <alignment horizontal="left"/>
    </xf>
    <xf numFmtId="1" fontId="28" fillId="2" borderId="0" xfId="0" applyNumberFormat="1" applyFont="1" applyFill="1" applyBorder="1" applyAlignment="1">
      <alignment horizontal="left" shrinkToFit="1"/>
    </xf>
    <xf numFmtId="1" fontId="28" fillId="2" borderId="0" xfId="0" applyNumberFormat="1" applyFont="1" applyFill="1" applyBorder="1" applyAlignment="1">
      <alignment horizontal="center" shrinkToFit="1"/>
    </xf>
    <xf numFmtId="1" fontId="28" fillId="2" borderId="4" xfId="0" applyNumberFormat="1" applyFont="1" applyFill="1" applyBorder="1" applyAlignment="1">
      <alignment shrinkToFit="1"/>
    </xf>
    <xf numFmtId="1" fontId="28" fillId="2" borderId="0" xfId="0" applyNumberFormat="1" applyFont="1" applyFill="1" applyBorder="1" applyAlignment="1">
      <alignment shrinkToFit="1"/>
    </xf>
    <xf numFmtId="1" fontId="28" fillId="2" borderId="6" xfId="0" applyNumberFormat="1" applyFont="1" applyFill="1" applyBorder="1" applyAlignment="1">
      <alignment shrinkToFit="1"/>
    </xf>
    <xf numFmtId="1" fontId="28" fillId="2" borderId="7" xfId="0" applyNumberFormat="1" applyFont="1" applyFill="1" applyBorder="1" applyAlignment="1">
      <alignment shrinkToFit="1"/>
    </xf>
    <xf numFmtId="1" fontId="28" fillId="2" borderId="7" xfId="0" applyNumberFormat="1" applyFont="1" applyFill="1" applyBorder="1" applyAlignment="1">
      <alignment horizontal="center" shrinkToFit="1"/>
    </xf>
    <xf numFmtId="0" fontId="0" fillId="2" borderId="7" xfId="0" applyFill="1" applyBorder="1" applyAlignment="1">
      <alignment horizontal="left"/>
    </xf>
    <xf numFmtId="1" fontId="28" fillId="2" borderId="2" xfId="0" applyNumberFormat="1" applyFont="1" applyFill="1" applyBorder="1" applyAlignment="1">
      <alignment shrinkToFit="1"/>
    </xf>
    <xf numFmtId="0" fontId="0" fillId="2" borderId="2" xfId="0" applyFill="1" applyBorder="1" applyAlignment="1"/>
    <xf numFmtId="0" fontId="0" fillId="2" borderId="2" xfId="0" applyFill="1" applyBorder="1" applyAlignment="1">
      <alignment horizontal="left"/>
    </xf>
    <xf numFmtId="173" fontId="0" fillId="2" borderId="0" xfId="0" applyNumberFormat="1" applyFill="1" applyBorder="1" applyAlignment="1"/>
    <xf numFmtId="0" fontId="0" fillId="2" borderId="1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6" xfId="0" applyFill="1" applyBorder="1" applyAlignment="1">
      <alignment vertical="center"/>
    </xf>
    <xf numFmtId="0" fontId="0" fillId="2" borderId="7" xfId="0" applyFill="1" applyBorder="1" applyAlignment="1">
      <alignment vertical="center"/>
    </xf>
    <xf numFmtId="0" fontId="3" fillId="2" borderId="8" xfId="0" applyFont="1" applyFill="1" applyBorder="1" applyAlignment="1">
      <alignment vertical="center"/>
    </xf>
    <xf numFmtId="0" fontId="0" fillId="2" borderId="0" xfId="0" applyFill="1" applyAlignment="1">
      <alignment horizontal="right" vertical="center"/>
    </xf>
    <xf numFmtId="1" fontId="0" fillId="2" borderId="0" xfId="0" applyNumberFormat="1" applyFill="1" applyAlignment="1">
      <alignment horizontal="left" vertical="center"/>
    </xf>
    <xf numFmtId="0" fontId="1" fillId="2" borderId="0" xfId="0" applyFont="1" applyFill="1" applyBorder="1" applyAlignment="1">
      <alignment horizontal="right" vertical="center"/>
    </xf>
    <xf numFmtId="0" fontId="0" fillId="2" borderId="0" xfId="0" applyFill="1" applyAlignment="1">
      <alignment horizontal="left" vertical="center"/>
    </xf>
    <xf numFmtId="0" fontId="0" fillId="2" borderId="9" xfId="0" applyFill="1" applyBorder="1"/>
    <xf numFmtId="0" fontId="3" fillId="0" borderId="0" xfId="0" applyFont="1" applyAlignment="1">
      <alignment horizontal="right" vertical="center"/>
    </xf>
    <xf numFmtId="0" fontId="0" fillId="2" borderId="9" xfId="0" applyFill="1" applyBorder="1" applyAlignment="1">
      <alignment horizontal="center" vertical="center"/>
    </xf>
    <xf numFmtId="0" fontId="0" fillId="2" borderId="9" xfId="0" applyFill="1" applyBorder="1" applyAlignment="1">
      <alignment horizontal="left" vertical="center"/>
    </xf>
    <xf numFmtId="0" fontId="0" fillId="2" borderId="9" xfId="0" applyFill="1" applyBorder="1" applyAlignment="1">
      <alignment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vertical="center"/>
    </xf>
    <xf numFmtId="0" fontId="0" fillId="3" borderId="0" xfId="0" applyFill="1" applyBorder="1" applyAlignment="1">
      <alignment vertical="center"/>
    </xf>
    <xf numFmtId="168" fontId="0" fillId="3" borderId="26" xfId="0" applyNumberFormat="1" applyFill="1" applyBorder="1" applyAlignment="1">
      <alignment horizontal="left" vertical="center"/>
    </xf>
    <xf numFmtId="0" fontId="0" fillId="3" borderId="42" xfId="0" applyFill="1" applyBorder="1" applyAlignment="1">
      <alignment vertical="center"/>
    </xf>
    <xf numFmtId="0" fontId="1" fillId="3" borderId="42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2" borderId="22" xfId="0" applyFill="1" applyBorder="1" applyAlignment="1">
      <alignment vertical="center"/>
    </xf>
    <xf numFmtId="0" fontId="0" fillId="2" borderId="26" xfId="0" applyFill="1" applyBorder="1" applyAlignment="1">
      <alignment vertical="center"/>
    </xf>
    <xf numFmtId="0" fontId="0" fillId="2" borderId="18" xfId="0" applyFill="1" applyBorder="1" applyAlignment="1">
      <alignment vertical="center"/>
    </xf>
    <xf numFmtId="0" fontId="0" fillId="2" borderId="22" xfId="0" applyFill="1" applyBorder="1"/>
    <xf numFmtId="0" fontId="0" fillId="2" borderId="18" xfId="0" applyFill="1" applyBorder="1"/>
    <xf numFmtId="164" fontId="0" fillId="2" borderId="9" xfId="0" applyNumberFormat="1" applyFill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181" fontId="0" fillId="2" borderId="22" xfId="0" applyNumberFormat="1" applyFill="1" applyBorder="1" applyAlignment="1">
      <alignment horizontal="left" vertical="center"/>
    </xf>
    <xf numFmtId="181" fontId="0" fillId="2" borderId="18" xfId="0" applyNumberFormat="1" applyFill="1" applyBorder="1" applyAlignment="1">
      <alignment horizontal="left" vertical="center"/>
    </xf>
    <xf numFmtId="0" fontId="0" fillId="3" borderId="0" xfId="0" applyFill="1" applyBorder="1" applyAlignment="1">
      <alignment horizontal="left" vertical="center"/>
    </xf>
    <xf numFmtId="0" fontId="0" fillId="3" borderId="5" xfId="0" applyFill="1" applyBorder="1" applyAlignment="1">
      <alignment horizontal="left" vertical="center"/>
    </xf>
    <xf numFmtId="186" fontId="0" fillId="2" borderId="22" xfId="0" applyNumberFormat="1" applyFont="1" applyFill="1" applyBorder="1" applyAlignment="1">
      <alignment horizontal="center" vertical="center"/>
    </xf>
    <xf numFmtId="186" fontId="0" fillId="2" borderId="18" xfId="0" applyNumberFormat="1" applyFont="1" applyFill="1" applyBorder="1" applyAlignment="1">
      <alignment horizontal="center" vertical="center"/>
    </xf>
    <xf numFmtId="0" fontId="0" fillId="2" borderId="22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1" fillId="2" borderId="19" xfId="0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171" fontId="0" fillId="0" borderId="9" xfId="0" applyNumberFormat="1" applyBorder="1" applyAlignment="1">
      <alignment horizontal="right" vertical="center"/>
    </xf>
    <xf numFmtId="171" fontId="0" fillId="0" borderId="14" xfId="0" applyNumberFormat="1" applyBorder="1" applyAlignment="1">
      <alignment horizontal="right" vertical="center"/>
    </xf>
    <xf numFmtId="172" fontId="1" fillId="3" borderId="0" xfId="0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right" vertical="center"/>
    </xf>
    <xf numFmtId="186" fontId="1" fillId="2" borderId="9" xfId="0" applyNumberFormat="1" applyFont="1" applyFill="1" applyBorder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172" fontId="0" fillId="3" borderId="0" xfId="0" applyNumberFormat="1" applyFont="1" applyFill="1" applyBorder="1" applyAlignment="1">
      <alignment horizontal="left" vertical="center"/>
    </xf>
    <xf numFmtId="184" fontId="0" fillId="0" borderId="0" xfId="0" applyNumberFormat="1" applyAlignment="1">
      <alignment horizontal="left" vertical="center"/>
    </xf>
    <xf numFmtId="0" fontId="0" fillId="0" borderId="0" xfId="0" applyAlignment="1">
      <alignment horizontal="right" vertical="center"/>
    </xf>
    <xf numFmtId="182" fontId="0" fillId="3" borderId="0" xfId="0" applyNumberFormat="1" applyFill="1" applyAlignment="1">
      <alignment horizontal="left" vertical="center"/>
    </xf>
    <xf numFmtId="0" fontId="0" fillId="2" borderId="9" xfId="0" applyFill="1" applyBorder="1" applyAlignment="1">
      <alignment horizontal="center" vertical="center" textRotation="90" wrapText="1"/>
    </xf>
    <xf numFmtId="186" fontId="0" fillId="0" borderId="0" xfId="0" applyNumberFormat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172" fontId="0" fillId="0" borderId="0" xfId="0" applyNumberFormat="1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183" fontId="0" fillId="3" borderId="0" xfId="0" applyNumberFormat="1" applyFill="1" applyAlignment="1">
      <alignment horizontal="left" vertical="center"/>
    </xf>
    <xf numFmtId="0" fontId="6" fillId="0" borderId="16" xfId="0" applyFont="1" applyBorder="1" applyAlignment="1">
      <alignment horizontal="right"/>
    </xf>
    <xf numFmtId="178" fontId="0" fillId="0" borderId="16" xfId="0" applyNumberFormat="1" applyBorder="1" applyAlignment="1">
      <alignment horizontal="right" vertical="center"/>
    </xf>
    <xf numFmtId="178" fontId="0" fillId="0" borderId="17" xfId="0" applyNumberFormat="1" applyBorder="1" applyAlignment="1">
      <alignment horizontal="right" vertical="center"/>
    </xf>
    <xf numFmtId="0" fontId="6" fillId="0" borderId="9" xfId="0" applyFont="1" applyBorder="1" applyAlignment="1">
      <alignment horizontal="right"/>
    </xf>
    <xf numFmtId="177" fontId="0" fillId="0" borderId="9" xfId="0" applyNumberFormat="1" applyBorder="1" applyAlignment="1">
      <alignment horizontal="right" vertical="center"/>
    </xf>
    <xf numFmtId="177" fontId="0" fillId="0" borderId="14" xfId="0" applyNumberFormat="1" applyBorder="1" applyAlignment="1">
      <alignment horizontal="right" vertical="center"/>
    </xf>
    <xf numFmtId="0" fontId="0" fillId="2" borderId="9" xfId="0" applyFill="1" applyBorder="1" applyAlignment="1">
      <alignment horizontal="center" textRotation="90" wrapText="1"/>
    </xf>
    <xf numFmtId="185" fontId="0" fillId="0" borderId="0" xfId="0" applyNumberFormat="1" applyBorder="1" applyAlignment="1">
      <alignment horizontal="left" vertical="center"/>
    </xf>
    <xf numFmtId="0" fontId="1" fillId="2" borderId="9" xfId="0" applyFont="1" applyFill="1" applyBorder="1" applyAlignment="1">
      <alignment horizontal="center" vertical="center"/>
    </xf>
    <xf numFmtId="174" fontId="0" fillId="0" borderId="9" xfId="0" applyNumberFormat="1" applyBorder="1" applyAlignment="1">
      <alignment horizontal="right" vertical="center"/>
    </xf>
    <xf numFmtId="174" fontId="0" fillId="0" borderId="14" xfId="0" applyNumberFormat="1" applyBorder="1" applyAlignment="1">
      <alignment horizontal="right" vertical="center"/>
    </xf>
    <xf numFmtId="0" fontId="6" fillId="0" borderId="11" xfId="0" applyFont="1" applyBorder="1" applyAlignment="1">
      <alignment horizontal="right"/>
    </xf>
    <xf numFmtId="170" fontId="0" fillId="0" borderId="11" xfId="0" applyNumberFormat="1" applyBorder="1" applyAlignment="1">
      <alignment horizontal="right" vertical="center"/>
    </xf>
    <xf numFmtId="170" fontId="0" fillId="0" borderId="12" xfId="0" applyNumberFormat="1" applyBorder="1" applyAlignment="1">
      <alignment horizontal="right" vertical="center"/>
    </xf>
    <xf numFmtId="0" fontId="0" fillId="0" borderId="10" xfId="0" applyBorder="1" applyAlignment="1">
      <alignment horizontal="center" vertical="center" textRotation="90" wrapText="1"/>
    </xf>
    <xf numFmtId="0" fontId="0" fillId="0" borderId="13" xfId="0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 textRotation="90" wrapText="1"/>
    </xf>
    <xf numFmtId="171" fontId="0" fillId="0" borderId="11" xfId="0" applyNumberFormat="1" applyBorder="1" applyAlignment="1">
      <alignment horizontal="right" vertical="center"/>
    </xf>
    <xf numFmtId="171" fontId="0" fillId="0" borderId="12" xfId="0" applyNumberFormat="1" applyBorder="1" applyAlignment="1">
      <alignment horizontal="right" vertical="center"/>
    </xf>
    <xf numFmtId="176" fontId="0" fillId="0" borderId="0" xfId="0" applyNumberFormat="1" applyBorder="1" applyAlignment="1">
      <alignment horizontal="left" vertical="center"/>
    </xf>
    <xf numFmtId="0" fontId="0" fillId="0" borderId="1" xfId="0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3" borderId="2" xfId="0" applyFill="1" applyBorder="1" applyAlignment="1">
      <alignment horizontal="left" vertical="center"/>
    </xf>
    <xf numFmtId="0" fontId="0" fillId="3" borderId="3" xfId="0" applyFill="1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0" fillId="0" borderId="7" xfId="0" applyBorder="1" applyAlignment="1">
      <alignment horizontal="right" vertical="center"/>
    </xf>
    <xf numFmtId="0" fontId="0" fillId="3" borderId="7" xfId="0" applyFill="1" applyBorder="1" applyAlignment="1">
      <alignment horizontal="left" vertical="center"/>
    </xf>
    <xf numFmtId="0" fontId="1" fillId="0" borderId="40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0" fillId="0" borderId="22" xfId="0" applyBorder="1" applyAlignment="1">
      <alignment horizontal="right" vertical="center"/>
    </xf>
    <xf numFmtId="0" fontId="0" fillId="0" borderId="26" xfId="0" applyBorder="1" applyAlignment="1">
      <alignment horizontal="right" vertical="center"/>
    </xf>
    <xf numFmtId="0" fontId="0" fillId="3" borderId="26" xfId="0" applyFill="1" applyBorder="1" applyAlignment="1">
      <alignment horizontal="left" vertical="center"/>
    </xf>
    <xf numFmtId="0" fontId="0" fillId="3" borderId="18" xfId="0" applyFill="1" applyBorder="1" applyAlignment="1">
      <alignment horizontal="left" vertical="center"/>
    </xf>
    <xf numFmtId="175" fontId="0" fillId="0" borderId="9" xfId="0" applyNumberFormat="1" applyBorder="1" applyAlignment="1">
      <alignment horizontal="right" vertical="center"/>
    </xf>
    <xf numFmtId="175" fontId="0" fillId="0" borderId="14" xfId="0" applyNumberFormat="1" applyBorder="1" applyAlignment="1">
      <alignment horizontal="right" vertical="center"/>
    </xf>
    <xf numFmtId="0" fontId="0" fillId="0" borderId="1" xfId="0" applyBorder="1" applyAlignment="1">
      <alignment horizontal="center" vertical="center" textRotation="90" wrapText="1"/>
    </xf>
    <xf numFmtId="0" fontId="0" fillId="0" borderId="30" xfId="0" applyBorder="1" applyAlignment="1">
      <alignment horizontal="center" vertical="center" textRotation="90" wrapText="1"/>
    </xf>
    <xf numFmtId="0" fontId="0" fillId="0" borderId="4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6" xfId="0" applyBorder="1" applyAlignment="1">
      <alignment horizontal="center" vertical="center" textRotation="90" wrapText="1"/>
    </xf>
    <xf numFmtId="0" fontId="0" fillId="0" borderId="3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9" xfId="0" applyBorder="1" applyAlignment="1">
      <alignment horizontal="center" vertical="center" textRotation="90" wrapText="1"/>
    </xf>
    <xf numFmtId="0" fontId="0" fillId="0" borderId="16" xfId="0" applyBorder="1" applyAlignment="1">
      <alignment horizontal="center" vertical="center" textRotation="90" wrapText="1"/>
    </xf>
    <xf numFmtId="172" fontId="1" fillId="0" borderId="0" xfId="0" applyNumberFormat="1" applyFont="1" applyBorder="1" applyAlignment="1">
      <alignment horizontal="left" vertical="center"/>
    </xf>
    <xf numFmtId="0" fontId="0" fillId="3" borderId="8" xfId="0" applyFill="1" applyBorder="1" applyAlignment="1">
      <alignment horizontal="left" vertical="center"/>
    </xf>
    <xf numFmtId="180" fontId="0" fillId="0" borderId="0" xfId="0" applyNumberFormat="1" applyBorder="1" applyAlignment="1">
      <alignment horizontal="left" vertical="center"/>
    </xf>
    <xf numFmtId="180" fontId="0" fillId="0" borderId="0" xfId="0" applyNumberFormat="1" applyBorder="1" applyAlignment="1">
      <alignment horizontal="center" vertical="center"/>
    </xf>
    <xf numFmtId="168" fontId="0" fillId="3" borderId="0" xfId="0" applyNumberFormat="1" applyFill="1" applyBorder="1" applyAlignment="1">
      <alignment horizontal="left" vertical="center"/>
    </xf>
    <xf numFmtId="172" fontId="0" fillId="3" borderId="0" xfId="0" applyNumberFormat="1" applyFill="1" applyBorder="1" applyAlignment="1">
      <alignment horizontal="left" vertical="center"/>
    </xf>
    <xf numFmtId="0" fontId="0" fillId="2" borderId="0" xfId="0" applyFill="1" applyBorder="1" applyAlignment="1">
      <alignment horizontal="center" vertical="center"/>
    </xf>
    <xf numFmtId="1" fontId="0" fillId="2" borderId="0" xfId="0" applyNumberFormat="1" applyFill="1" applyBorder="1" applyAlignment="1">
      <alignment horizontal="center" vertical="center"/>
    </xf>
    <xf numFmtId="165" fontId="0" fillId="3" borderId="0" xfId="0" applyNumberFormat="1" applyFill="1" applyBorder="1" applyAlignment="1">
      <alignment horizontal="center" vertical="center"/>
    </xf>
    <xf numFmtId="165" fontId="0" fillId="3" borderId="5" xfId="0" applyNumberFormat="1" applyFill="1" applyBorder="1" applyAlignment="1">
      <alignment horizontal="center" vertical="center"/>
    </xf>
    <xf numFmtId="166" fontId="0" fillId="3" borderId="7" xfId="0" applyNumberFormat="1" applyFill="1" applyBorder="1" applyAlignment="1">
      <alignment horizontal="center" vertical="center"/>
    </xf>
    <xf numFmtId="166" fontId="0" fillId="3" borderId="8" xfId="0" applyNumberFormat="1" applyFill="1" applyBorder="1" applyAlignment="1">
      <alignment horizontal="center" vertical="center"/>
    </xf>
    <xf numFmtId="169" fontId="0" fillId="0" borderId="2" xfId="0" applyNumberFormat="1" applyBorder="1" applyAlignment="1">
      <alignment horizontal="center" vertical="center"/>
    </xf>
    <xf numFmtId="169" fontId="0" fillId="0" borderId="3" xfId="0" applyNumberFormat="1" applyBorder="1" applyAlignment="1">
      <alignment horizontal="center" vertical="center"/>
    </xf>
    <xf numFmtId="169" fontId="0" fillId="0" borderId="7" xfId="0" applyNumberFormat="1" applyBorder="1" applyAlignment="1">
      <alignment horizontal="center" vertical="center"/>
    </xf>
    <xf numFmtId="169" fontId="0" fillId="0" borderId="8" xfId="0" applyNumberFormat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3" fillId="2" borderId="8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167" fontId="0" fillId="3" borderId="0" xfId="0" applyNumberFormat="1" applyFill="1" applyBorder="1" applyAlignment="1">
      <alignment horizontal="left" vertical="center"/>
    </xf>
    <xf numFmtId="167" fontId="0" fillId="3" borderId="5" xfId="0" applyNumberFormat="1" applyFill="1" applyBorder="1" applyAlignment="1">
      <alignment horizontal="left" vertical="center"/>
    </xf>
    <xf numFmtId="0" fontId="6" fillId="0" borderId="22" xfId="0" applyFont="1" applyBorder="1" applyAlignment="1">
      <alignment horizontal="right"/>
    </xf>
    <xf numFmtId="0" fontId="6" fillId="0" borderId="18" xfId="0" applyFont="1" applyBorder="1" applyAlignment="1">
      <alignment horizontal="right"/>
    </xf>
    <xf numFmtId="175" fontId="0" fillId="0" borderId="22" xfId="0" applyNumberFormat="1" applyBorder="1" applyAlignment="1">
      <alignment horizontal="right" vertical="center"/>
    </xf>
    <xf numFmtId="175" fontId="0" fillId="0" borderId="26" xfId="0" applyNumberFormat="1" applyBorder="1" applyAlignment="1">
      <alignment horizontal="right" vertical="center"/>
    </xf>
    <xf numFmtId="175" fontId="0" fillId="0" borderId="39" xfId="0" applyNumberFormat="1" applyBorder="1" applyAlignment="1">
      <alignment horizontal="right" vertical="center"/>
    </xf>
    <xf numFmtId="177" fontId="0" fillId="0" borderId="22" xfId="0" applyNumberFormat="1" applyBorder="1" applyAlignment="1">
      <alignment horizontal="right" vertical="center"/>
    </xf>
    <xf numFmtId="177" fontId="0" fillId="0" borderId="26" xfId="0" applyNumberFormat="1" applyBorder="1" applyAlignment="1">
      <alignment horizontal="right" vertical="center"/>
    </xf>
    <xf numFmtId="177" fontId="0" fillId="0" borderId="39" xfId="0" applyNumberFormat="1" applyBorder="1" applyAlignment="1">
      <alignment horizontal="right" vertical="center"/>
    </xf>
    <xf numFmtId="0" fontId="6" fillId="0" borderId="32" xfId="0" applyFont="1" applyBorder="1" applyAlignment="1">
      <alignment horizontal="right"/>
    </xf>
    <xf numFmtId="0" fontId="6" fillId="0" borderId="47" xfId="0" applyFont="1" applyBorder="1" applyAlignment="1">
      <alignment horizontal="right"/>
    </xf>
    <xf numFmtId="178" fontId="0" fillId="0" borderId="32" xfId="0" applyNumberFormat="1" applyBorder="1" applyAlignment="1">
      <alignment horizontal="right" vertical="center"/>
    </xf>
    <xf numFmtId="178" fontId="0" fillId="0" borderId="33" xfId="0" applyNumberFormat="1" applyBorder="1" applyAlignment="1">
      <alignment horizontal="right" vertical="center"/>
    </xf>
    <xf numFmtId="178" fontId="0" fillId="0" borderId="34" xfId="0" applyNumberFormat="1" applyBorder="1" applyAlignment="1">
      <alignment horizontal="right" vertical="center"/>
    </xf>
    <xf numFmtId="0" fontId="0" fillId="3" borderId="41" xfId="0" applyFill="1" applyBorder="1" applyAlignment="1">
      <alignment horizontal="left" vertical="center"/>
    </xf>
    <xf numFmtId="0" fontId="0" fillId="3" borderId="42" xfId="0" applyFill="1" applyBorder="1" applyAlignment="1">
      <alignment horizontal="left" vertical="center"/>
    </xf>
    <xf numFmtId="0" fontId="6" fillId="0" borderId="43" xfId="0" applyFont="1" applyBorder="1" applyAlignment="1">
      <alignment horizontal="right"/>
    </xf>
    <xf numFmtId="0" fontId="6" fillId="0" borderId="46" xfId="0" applyFont="1" applyBorder="1" applyAlignment="1">
      <alignment horizontal="right"/>
    </xf>
    <xf numFmtId="171" fontId="0" fillId="0" borderId="43" xfId="0" applyNumberFormat="1" applyBorder="1" applyAlignment="1">
      <alignment horizontal="right" vertical="center"/>
    </xf>
    <xf numFmtId="171" fontId="0" fillId="0" borderId="44" xfId="0" applyNumberFormat="1" applyBorder="1" applyAlignment="1">
      <alignment horizontal="right" vertical="center"/>
    </xf>
    <xf numFmtId="171" fontId="0" fillId="0" borderId="45" xfId="0" applyNumberFormat="1" applyBorder="1" applyAlignment="1">
      <alignment horizontal="right" vertical="center"/>
    </xf>
    <xf numFmtId="171" fontId="0" fillId="0" borderId="22" xfId="0" applyNumberFormat="1" applyBorder="1" applyAlignment="1">
      <alignment horizontal="right" vertical="center"/>
    </xf>
    <xf numFmtId="171" fontId="0" fillId="0" borderId="26" xfId="0" applyNumberFormat="1" applyBorder="1" applyAlignment="1">
      <alignment horizontal="right" vertical="center"/>
    </xf>
    <xf numFmtId="171" fontId="0" fillId="0" borderId="39" xfId="0" applyNumberFormat="1" applyBorder="1" applyAlignment="1">
      <alignment horizontal="right" vertical="center"/>
    </xf>
    <xf numFmtId="174" fontId="0" fillId="0" borderId="22" xfId="0" applyNumberFormat="1" applyBorder="1" applyAlignment="1">
      <alignment horizontal="right" vertical="center"/>
    </xf>
    <xf numFmtId="174" fontId="0" fillId="0" borderId="26" xfId="0" applyNumberFormat="1" applyBorder="1" applyAlignment="1">
      <alignment horizontal="right" vertical="center"/>
    </xf>
    <xf numFmtId="174" fontId="0" fillId="0" borderId="39" xfId="0" applyNumberFormat="1" applyBorder="1" applyAlignment="1">
      <alignment horizontal="right" vertical="center"/>
    </xf>
    <xf numFmtId="176" fontId="0" fillId="0" borderId="5" xfId="0" applyNumberFormat="1" applyBorder="1" applyAlignment="1">
      <alignment horizontal="left" vertical="center"/>
    </xf>
    <xf numFmtId="0" fontId="0" fillId="0" borderId="40" xfId="0" applyBorder="1" applyAlignment="1">
      <alignment horizontal="right" vertical="center"/>
    </xf>
    <xf numFmtId="0" fontId="0" fillId="0" borderId="41" xfId="0" applyBorder="1" applyAlignment="1">
      <alignment horizontal="right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173" fontId="0" fillId="0" borderId="16" xfId="0" applyNumberForma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9" xfId="0" applyFill="1" applyBorder="1" applyAlignment="1">
      <alignment horizontal="center"/>
    </xf>
    <xf numFmtId="173" fontId="0" fillId="0" borderId="9" xfId="0" applyNumberFormat="1" applyBorder="1" applyAlignment="1">
      <alignment horizontal="center"/>
    </xf>
    <xf numFmtId="172" fontId="29" fillId="0" borderId="7" xfId="0" applyNumberFormat="1" applyFont="1" applyBorder="1" applyAlignment="1">
      <alignment horizontal="left" vertical="center"/>
    </xf>
    <xf numFmtId="0" fontId="0" fillId="0" borderId="3" xfId="0" applyBorder="1" applyAlignment="1">
      <alignment horizontal="center"/>
    </xf>
    <xf numFmtId="175" fontId="0" fillId="0" borderId="19" xfId="0" applyNumberFormat="1" applyBorder="1" applyAlignment="1">
      <alignment horizontal="right" vertical="center"/>
    </xf>
    <xf numFmtId="175" fontId="0" fillId="0" borderId="35" xfId="0" applyNumberFormat="1" applyBorder="1" applyAlignment="1">
      <alignment horizontal="right" vertical="center"/>
    </xf>
    <xf numFmtId="0" fontId="6" fillId="0" borderId="19" xfId="0" applyFont="1" applyBorder="1" applyAlignment="1">
      <alignment horizontal="right"/>
    </xf>
    <xf numFmtId="178" fontId="0" fillId="0" borderId="19" xfId="0" applyNumberFormat="1" applyBorder="1" applyAlignment="1">
      <alignment horizontal="right" vertical="center"/>
    </xf>
    <xf numFmtId="178" fontId="0" fillId="0" borderId="35" xfId="0" applyNumberFormat="1" applyBorder="1" applyAlignment="1">
      <alignment horizontal="right" vertical="center"/>
    </xf>
    <xf numFmtId="179" fontId="0" fillId="0" borderId="0" xfId="0" applyNumberFormat="1" applyBorder="1" applyAlignment="1">
      <alignment horizontal="left" vertical="center"/>
    </xf>
    <xf numFmtId="179" fontId="0" fillId="0" borderId="5" xfId="0" applyNumberFormat="1" applyBorder="1" applyAlignment="1">
      <alignment horizontal="left" vertical="center"/>
    </xf>
    <xf numFmtId="173" fontId="0" fillId="0" borderId="0" xfId="0" applyNumberFormat="1" applyBorder="1" applyAlignment="1">
      <alignment horizontal="left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174" fontId="3" fillId="0" borderId="9" xfId="0" applyNumberFormat="1" applyFont="1" applyBorder="1" applyAlignment="1">
      <alignment horizontal="right" vertical="center"/>
    </xf>
    <xf numFmtId="174" fontId="3" fillId="0" borderId="14" xfId="0" applyNumberFormat="1" applyFont="1" applyBorder="1" applyAlignment="1">
      <alignment horizontal="right" vertical="center"/>
    </xf>
    <xf numFmtId="165" fontId="0" fillId="3" borderId="0" xfId="0" applyNumberFormat="1" applyFill="1" applyBorder="1" applyAlignment="1">
      <alignment horizontal="left" vertical="center"/>
    </xf>
    <xf numFmtId="165" fontId="0" fillId="3" borderId="5" xfId="0" applyNumberFormat="1" applyFill="1" applyBorder="1" applyAlignment="1">
      <alignment horizontal="left" vertical="center"/>
    </xf>
    <xf numFmtId="166" fontId="0" fillId="3" borderId="7" xfId="0" applyNumberFormat="1" applyFill="1" applyBorder="1" applyAlignment="1">
      <alignment horizontal="left" vertical="center"/>
    </xf>
    <xf numFmtId="166" fontId="0" fillId="3" borderId="8" xfId="0" applyNumberFormat="1" applyFill="1" applyBorder="1" applyAlignment="1">
      <alignment horizontal="left" vertical="center"/>
    </xf>
    <xf numFmtId="169" fontId="0" fillId="0" borderId="2" xfId="0" applyNumberFormat="1" applyBorder="1" applyAlignment="1">
      <alignment horizontal="left" vertical="center"/>
    </xf>
    <xf numFmtId="169" fontId="0" fillId="0" borderId="3" xfId="0" applyNumberFormat="1" applyBorder="1" applyAlignment="1">
      <alignment horizontal="left" vertical="center"/>
    </xf>
    <xf numFmtId="169" fontId="0" fillId="0" borderId="7" xfId="0" applyNumberFormat="1" applyBorder="1" applyAlignment="1">
      <alignment horizontal="left" vertical="center"/>
    </xf>
    <xf numFmtId="169" fontId="0" fillId="0" borderId="8" xfId="0" applyNumberFormat="1" applyBorder="1" applyAlignment="1">
      <alignment horizontal="left" vertical="center"/>
    </xf>
    <xf numFmtId="0" fontId="0" fillId="0" borderId="36" xfId="0" applyBorder="1" applyAlignment="1">
      <alignment horizontal="right" vertical="center"/>
    </xf>
    <xf numFmtId="0" fontId="0" fillId="0" borderId="20" xfId="0" applyBorder="1" applyAlignment="1">
      <alignment horizontal="right" vertical="center"/>
    </xf>
    <xf numFmtId="0" fontId="0" fillId="0" borderId="6" xfId="0" applyBorder="1" applyAlignment="1">
      <alignment horizontal="right"/>
    </xf>
    <xf numFmtId="0" fontId="0" fillId="0" borderId="7" xfId="0" applyBorder="1" applyAlignment="1">
      <alignment horizontal="right"/>
    </xf>
    <xf numFmtId="169" fontId="0" fillId="3" borderId="0" xfId="0" applyNumberFormat="1" applyFill="1" applyBorder="1" applyAlignment="1">
      <alignment horizontal="left" vertical="center"/>
    </xf>
    <xf numFmtId="169" fontId="0" fillId="3" borderId="5" xfId="0" applyNumberFormat="1" applyFill="1" applyBorder="1" applyAlignment="1">
      <alignment horizontal="left" vertical="center"/>
    </xf>
    <xf numFmtId="169" fontId="0" fillId="3" borderId="20" xfId="0" applyNumberFormat="1" applyFill="1" applyBorder="1" applyAlignment="1">
      <alignment horizontal="left" vertical="center"/>
    </xf>
    <xf numFmtId="169" fontId="0" fillId="3" borderId="37" xfId="0" applyNumberFormat="1" applyFill="1" applyBorder="1" applyAlignment="1">
      <alignment horizontal="left" vertical="center"/>
    </xf>
    <xf numFmtId="169" fontId="0" fillId="0" borderId="0" xfId="0" applyNumberFormat="1" applyBorder="1" applyAlignment="1">
      <alignment horizontal="left" vertical="center"/>
    </xf>
    <xf numFmtId="169" fontId="0" fillId="0" borderId="5" xfId="0" applyNumberFormat="1" applyBorder="1" applyAlignment="1">
      <alignment horizontal="left" vertical="center"/>
    </xf>
    <xf numFmtId="173" fontId="0" fillId="0" borderId="7" xfId="0" applyNumberFormat="1" applyBorder="1" applyAlignment="1">
      <alignment horizontal="left" vertical="center"/>
    </xf>
    <xf numFmtId="0" fontId="29" fillId="2" borderId="1" xfId="0" applyFont="1" applyFill="1" applyBorder="1" applyAlignment="1">
      <alignment horizontal="center"/>
    </xf>
    <xf numFmtId="0" fontId="29" fillId="2" borderId="2" xfId="0" applyFont="1" applyFill="1" applyBorder="1" applyAlignment="1">
      <alignment horizontal="center"/>
    </xf>
    <xf numFmtId="0" fontId="29" fillId="2" borderId="3" xfId="0" applyFont="1" applyFill="1" applyBorder="1" applyAlignment="1">
      <alignment horizontal="center"/>
    </xf>
    <xf numFmtId="0" fontId="19" fillId="2" borderId="9" xfId="0" applyFont="1" applyFill="1" applyBorder="1" applyAlignment="1">
      <alignment horizontal="center" vertical="center" wrapText="1"/>
    </xf>
    <xf numFmtId="2" fontId="20" fillId="2" borderId="9" xfId="0" applyNumberFormat="1" applyFont="1" applyFill="1" applyBorder="1" applyAlignment="1">
      <alignment horizontal="center" vertical="center"/>
    </xf>
    <xf numFmtId="49" fontId="20" fillId="2" borderId="9" xfId="0" applyNumberFormat="1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top"/>
    </xf>
    <xf numFmtId="1" fontId="21" fillId="2" borderId="9" xfId="0" applyNumberFormat="1" applyFont="1" applyFill="1" applyBorder="1" applyAlignment="1">
      <alignment horizontal="center" vertical="center" shrinkToFit="1"/>
    </xf>
    <xf numFmtId="0" fontId="21" fillId="2" borderId="9" xfId="0" applyFont="1" applyFill="1" applyBorder="1" applyAlignment="1">
      <alignment horizontal="center" vertical="top"/>
    </xf>
    <xf numFmtId="0" fontId="22" fillId="2" borderId="9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top"/>
    </xf>
    <xf numFmtId="0" fontId="25" fillId="2" borderId="9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top"/>
    </xf>
    <xf numFmtId="0" fontId="19" fillId="2" borderId="9" xfId="0" applyFont="1" applyFill="1" applyBorder="1" applyAlignment="1">
      <alignment horizontal="center" vertical="center"/>
    </xf>
    <xf numFmtId="0" fontId="19" fillId="2" borderId="22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164" fontId="15" fillId="2" borderId="9" xfId="0" applyNumberFormat="1" applyFont="1" applyFill="1" applyBorder="1" applyAlignment="1">
      <alignment horizontal="center" vertical="center" shrinkToFit="1"/>
    </xf>
    <xf numFmtId="0" fontId="17" fillId="2" borderId="9" xfId="0" applyFont="1" applyFill="1" applyBorder="1" applyAlignment="1">
      <alignment horizontal="center" vertical="center"/>
    </xf>
    <xf numFmtId="1" fontId="15" fillId="2" borderId="9" xfId="0" applyNumberFormat="1" applyFont="1" applyFill="1" applyBorder="1" applyAlignment="1">
      <alignment horizontal="center" vertical="center" shrinkToFit="1"/>
    </xf>
    <xf numFmtId="0" fontId="0" fillId="2" borderId="9" xfId="0" applyFill="1" applyBorder="1" applyAlignment="1">
      <alignment horizontal="center"/>
    </xf>
    <xf numFmtId="0" fontId="0" fillId="2" borderId="12" xfId="0" applyFill="1" applyBorder="1" applyAlignment="1">
      <alignment horizontal="center" vertical="center" textRotation="90"/>
    </xf>
    <xf numFmtId="0" fontId="0" fillId="2" borderId="14" xfId="0" applyFill="1" applyBorder="1" applyAlignment="1">
      <alignment horizontal="center" vertical="center" textRotation="90"/>
    </xf>
    <xf numFmtId="0" fontId="14" fillId="2" borderId="9" xfId="0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 textRotation="90"/>
    </xf>
    <xf numFmtId="0" fontId="0" fillId="2" borderId="13" xfId="0" applyFill="1" applyBorder="1" applyAlignment="1">
      <alignment horizontal="center" vertical="center" textRotation="90"/>
    </xf>
    <xf numFmtId="0" fontId="3" fillId="2" borderId="11" xfId="0" applyFont="1" applyFill="1" applyBorder="1" applyAlignment="1">
      <alignment horizontal="center" vertical="center" textRotation="90"/>
    </xf>
    <xf numFmtId="0" fontId="3" fillId="2" borderId="9" xfId="0" applyFont="1" applyFill="1" applyBorder="1" applyAlignment="1">
      <alignment horizontal="center" vertical="center" textRotation="90"/>
    </xf>
    <xf numFmtId="0" fontId="0" fillId="2" borderId="11" xfId="0" applyFill="1" applyBorder="1" applyAlignment="1">
      <alignment horizontal="center" vertical="center" textRotation="90"/>
    </xf>
    <xf numFmtId="0" fontId="0" fillId="2" borderId="9" xfId="0" applyFill="1" applyBorder="1" applyAlignment="1">
      <alignment horizontal="center" vertical="center" textRotation="90"/>
    </xf>
    <xf numFmtId="0" fontId="0" fillId="2" borderId="14" xfId="0" applyFill="1" applyBorder="1" applyAlignment="1">
      <alignment horizontal="center"/>
    </xf>
    <xf numFmtId="0" fontId="12" fillId="2" borderId="9" xfId="0" applyFont="1" applyFill="1" applyBorder="1" applyAlignment="1">
      <alignment horizontal="center" vertical="top" wrapText="1"/>
    </xf>
    <xf numFmtId="168" fontId="0" fillId="3" borderId="7" xfId="0" applyNumberFormat="1" applyFill="1" applyBorder="1" applyAlignment="1">
      <alignment horizontal="left" vertical="center"/>
    </xf>
    <xf numFmtId="168" fontId="0" fillId="3" borderId="8" xfId="0" applyNumberFormat="1" applyFill="1" applyBorder="1" applyAlignment="1">
      <alignment horizontal="left" vertical="center"/>
    </xf>
    <xf numFmtId="0" fontId="30" fillId="0" borderId="28" xfId="0" applyFont="1" applyBorder="1" applyAlignment="1">
      <alignment horizontal="center" vertical="center" textRotation="90" wrapText="1"/>
    </xf>
    <xf numFmtId="0" fontId="30" fillId="0" borderId="29" xfId="0" applyFont="1" applyBorder="1" applyAlignment="1">
      <alignment horizontal="center" vertical="center" textRotation="90" wrapText="1"/>
    </xf>
    <xf numFmtId="1" fontId="0" fillId="0" borderId="9" xfId="0" applyNumberForma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0" fillId="0" borderId="9" xfId="0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3" Type="http://schemas.openxmlformats.org/officeDocument/2006/relationships/image" Target="../media/image56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2" Type="http://schemas.openxmlformats.org/officeDocument/2006/relationships/image" Target="../media/image55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0" Type="http://schemas.openxmlformats.org/officeDocument/2006/relationships/image" Target="../media/image63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92052</xdr:colOff>
      <xdr:row>35</xdr:row>
      <xdr:rowOff>66675</xdr:rowOff>
    </xdr:from>
    <xdr:to>
      <xdr:col>75</xdr:col>
      <xdr:colOff>10320</xdr:colOff>
      <xdr:row>45</xdr:row>
      <xdr:rowOff>86089</xdr:rowOff>
    </xdr:to>
    <xdr:pic>
      <xdr:nvPicPr>
        <xdr:cNvPr id="84" name="Resim 83">
          <a:extLst>
            <a:ext uri="{FF2B5EF4-FFF2-40B4-BE49-F238E27FC236}">
              <a16:creationId xmlns:a16="http://schemas.microsoft.com/office/drawing/2014/main" id="{DDE43AB0-24CF-4702-8296-6E765012A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69852" y="6858000"/>
          <a:ext cx="4823643" cy="2210164"/>
        </a:xfrm>
        <a:prstGeom prst="rect">
          <a:avLst/>
        </a:prstGeom>
      </xdr:spPr>
    </xdr:pic>
    <xdr:clientData/>
  </xdr:twoCellAnchor>
  <xdr:twoCellAnchor editAs="oneCell">
    <xdr:from>
      <xdr:col>51</xdr:col>
      <xdr:colOff>142874</xdr:colOff>
      <xdr:row>45</xdr:row>
      <xdr:rowOff>28944</xdr:rowOff>
    </xdr:from>
    <xdr:to>
      <xdr:col>74</xdr:col>
      <xdr:colOff>174033</xdr:colOff>
      <xdr:row>55</xdr:row>
      <xdr:rowOff>190500</xdr:rowOff>
    </xdr:to>
    <xdr:pic>
      <xdr:nvPicPr>
        <xdr:cNvPr id="85" name="Resim 84">
          <a:extLst>
            <a:ext uri="{FF2B5EF4-FFF2-40B4-BE49-F238E27FC236}">
              <a16:creationId xmlns:a16="http://schemas.microsoft.com/office/drawing/2014/main" id="{992F2BAF-413C-410E-8E5B-A9CD725C7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20674" y="9011019"/>
          <a:ext cx="4736509" cy="2352306"/>
        </a:xfrm>
        <a:prstGeom prst="rect">
          <a:avLst/>
        </a:prstGeom>
      </xdr:spPr>
    </xdr:pic>
    <xdr:clientData/>
  </xdr:twoCellAnchor>
  <xdr:twoCellAnchor editAs="oneCell">
    <xdr:from>
      <xdr:col>31</xdr:col>
      <xdr:colOff>28575</xdr:colOff>
      <xdr:row>66</xdr:row>
      <xdr:rowOff>47625</xdr:rowOff>
    </xdr:from>
    <xdr:to>
      <xdr:col>51</xdr:col>
      <xdr:colOff>116746</xdr:colOff>
      <xdr:row>93</xdr:row>
      <xdr:rowOff>191446</xdr:rowOff>
    </xdr:to>
    <xdr:pic>
      <xdr:nvPicPr>
        <xdr:cNvPr id="86" name="Resim 85">
          <a:extLst>
            <a:ext uri="{FF2B5EF4-FFF2-40B4-BE49-F238E27FC236}">
              <a16:creationId xmlns:a16="http://schemas.microsoft.com/office/drawing/2014/main" id="{804D0F19-DDAB-4DE5-B9DA-F7A888B85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34150" y="14506575"/>
          <a:ext cx="5726971" cy="6058846"/>
        </a:xfrm>
        <a:prstGeom prst="rect">
          <a:avLst/>
        </a:prstGeom>
      </xdr:spPr>
    </xdr:pic>
    <xdr:clientData/>
  </xdr:twoCellAnchor>
  <xdr:twoCellAnchor editAs="oneCell">
    <xdr:from>
      <xdr:col>31</xdr:col>
      <xdr:colOff>47625</xdr:colOff>
      <xdr:row>50</xdr:row>
      <xdr:rowOff>114301</xdr:rowOff>
    </xdr:from>
    <xdr:to>
      <xdr:col>49</xdr:col>
      <xdr:colOff>106021</xdr:colOff>
      <xdr:row>61</xdr:row>
      <xdr:rowOff>50597</xdr:rowOff>
    </xdr:to>
    <xdr:pic>
      <xdr:nvPicPr>
        <xdr:cNvPr id="87" name="Resim 86">
          <a:extLst>
            <a:ext uri="{FF2B5EF4-FFF2-40B4-BE49-F238E27FC236}">
              <a16:creationId xmlns:a16="http://schemas.microsoft.com/office/drawing/2014/main" id="{CEEFAFBD-1148-4780-BFCD-4D5E22BB2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53200" y="11068051"/>
          <a:ext cx="5297146" cy="2346121"/>
        </a:xfrm>
        <a:prstGeom prst="rect">
          <a:avLst/>
        </a:prstGeom>
      </xdr:spPr>
    </xdr:pic>
    <xdr:clientData/>
  </xdr:twoCellAnchor>
  <xdr:twoCellAnchor editAs="oneCell">
    <xdr:from>
      <xdr:col>58</xdr:col>
      <xdr:colOff>96193</xdr:colOff>
      <xdr:row>101</xdr:row>
      <xdr:rowOff>219074</xdr:rowOff>
    </xdr:from>
    <xdr:to>
      <xdr:col>82</xdr:col>
      <xdr:colOff>105655</xdr:colOff>
      <xdr:row>128</xdr:row>
      <xdr:rowOff>29622</xdr:rowOff>
    </xdr:to>
    <xdr:pic>
      <xdr:nvPicPr>
        <xdr:cNvPr id="89" name="Resim 88">
          <a:extLst>
            <a:ext uri="{FF2B5EF4-FFF2-40B4-BE49-F238E27FC236}">
              <a16:creationId xmlns:a16="http://schemas.microsoft.com/office/drawing/2014/main" id="{4CBF2236-78EE-49BB-9E79-B4635620D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74068" y="22345649"/>
          <a:ext cx="4810062" cy="5725573"/>
        </a:xfrm>
        <a:prstGeom prst="rect">
          <a:avLst/>
        </a:prstGeom>
      </xdr:spPr>
    </xdr:pic>
    <xdr:clientData/>
  </xdr:twoCellAnchor>
  <xdr:twoCellAnchor editAs="oneCell">
    <xdr:from>
      <xdr:col>77</xdr:col>
      <xdr:colOff>104774</xdr:colOff>
      <xdr:row>35</xdr:row>
      <xdr:rowOff>11677</xdr:rowOff>
    </xdr:from>
    <xdr:to>
      <xdr:col>115</xdr:col>
      <xdr:colOff>172897</xdr:colOff>
      <xdr:row>52</xdr:row>
      <xdr:rowOff>69121</xdr:rowOff>
    </xdr:to>
    <xdr:pic>
      <xdr:nvPicPr>
        <xdr:cNvPr id="90" name="Resim 89">
          <a:extLst>
            <a:ext uri="{FF2B5EF4-FFF2-40B4-BE49-F238E27FC236}">
              <a16:creationId xmlns:a16="http://schemas.microsoft.com/office/drawing/2014/main" id="{C169CFB5-AA01-40C3-A377-4FFC17A4A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83124" y="7679302"/>
          <a:ext cx="7669073" cy="3781719"/>
        </a:xfrm>
        <a:prstGeom prst="rect">
          <a:avLst/>
        </a:prstGeom>
      </xdr:spPr>
    </xdr:pic>
    <xdr:clientData/>
  </xdr:twoCellAnchor>
  <xdr:twoCellAnchor editAs="oneCell">
    <xdr:from>
      <xdr:col>18</xdr:col>
      <xdr:colOff>195261</xdr:colOff>
      <xdr:row>0</xdr:row>
      <xdr:rowOff>104775</xdr:rowOff>
    </xdr:from>
    <xdr:to>
      <xdr:col>25</xdr:col>
      <xdr:colOff>114299</xdr:colOff>
      <xdr:row>2</xdr:row>
      <xdr:rowOff>209550</xdr:rowOff>
    </xdr:to>
    <xdr:pic>
      <xdr:nvPicPr>
        <xdr:cNvPr id="94" name="Resim 93">
          <a:extLst>
            <a:ext uri="{FF2B5EF4-FFF2-40B4-BE49-F238E27FC236}">
              <a16:creationId xmlns:a16="http://schemas.microsoft.com/office/drawing/2014/main" id="{F585EA06-ECEE-444C-A3A9-8594D78FC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011" y="104775"/>
          <a:ext cx="1681163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37</xdr:row>
      <xdr:rowOff>114300</xdr:rowOff>
    </xdr:from>
    <xdr:to>
      <xdr:col>6</xdr:col>
      <xdr:colOff>200428</xdr:colOff>
      <xdr:row>38</xdr:row>
      <xdr:rowOff>135980</xdr:rowOff>
    </xdr:to>
    <xdr:pic>
      <xdr:nvPicPr>
        <xdr:cNvPr id="99" name="Resim 98">
          <a:extLst>
            <a:ext uri="{FF2B5EF4-FFF2-40B4-BE49-F238E27FC236}">
              <a16:creationId xmlns:a16="http://schemas.microsoft.com/office/drawing/2014/main" id="{04387868-1C98-449C-A27D-D3E111C99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724" y="8220075"/>
          <a:ext cx="1591079" cy="240755"/>
        </a:xfrm>
        <a:prstGeom prst="rect">
          <a:avLst/>
        </a:prstGeom>
      </xdr:spPr>
    </xdr:pic>
    <xdr:clientData/>
  </xdr:twoCellAnchor>
  <xdr:twoCellAnchor editAs="oneCell">
    <xdr:from>
      <xdr:col>7</xdr:col>
      <xdr:colOff>89194</xdr:colOff>
      <xdr:row>32</xdr:row>
      <xdr:rowOff>85725</xdr:rowOff>
    </xdr:from>
    <xdr:to>
      <xdr:col>25</xdr:col>
      <xdr:colOff>95250</xdr:colOff>
      <xdr:row>43</xdr:row>
      <xdr:rowOff>200025</xdr:rowOff>
    </xdr:to>
    <xdr:pic>
      <xdr:nvPicPr>
        <xdr:cNvPr id="102" name="Resim 101">
          <a:extLst>
            <a:ext uri="{FF2B5EF4-FFF2-40B4-BE49-F238E27FC236}">
              <a16:creationId xmlns:a16="http://schemas.microsoft.com/office/drawing/2014/main" id="{03A7517B-3DB9-448C-92BE-DA19A39C7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70369" y="7096125"/>
          <a:ext cx="4082756" cy="2524125"/>
        </a:xfrm>
        <a:prstGeom prst="rect">
          <a:avLst/>
        </a:prstGeom>
      </xdr:spPr>
    </xdr:pic>
    <xdr:clientData/>
  </xdr:twoCellAnchor>
  <xdr:twoCellAnchor editAs="oneCell">
    <xdr:from>
      <xdr:col>14</xdr:col>
      <xdr:colOff>22266</xdr:colOff>
      <xdr:row>11</xdr:row>
      <xdr:rowOff>65223</xdr:rowOff>
    </xdr:from>
    <xdr:to>
      <xdr:col>24</xdr:col>
      <xdr:colOff>95250</xdr:colOff>
      <xdr:row>24</xdr:row>
      <xdr:rowOff>152399</xdr:rowOff>
    </xdr:to>
    <xdr:pic>
      <xdr:nvPicPr>
        <xdr:cNvPr id="103" name="Resim 102">
          <a:extLst>
            <a:ext uri="{FF2B5EF4-FFF2-40B4-BE49-F238E27FC236}">
              <a16:creationId xmlns:a16="http://schemas.microsoft.com/office/drawing/2014/main" id="{B64A99E7-76A3-472C-A821-5F500DD36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17916" y="2475048"/>
          <a:ext cx="2435184" cy="2935151"/>
        </a:xfrm>
        <a:prstGeom prst="rect">
          <a:avLst/>
        </a:prstGeom>
      </xdr:spPr>
    </xdr:pic>
    <xdr:clientData/>
  </xdr:twoCellAnchor>
  <xdr:twoCellAnchor editAs="oneCell">
    <xdr:from>
      <xdr:col>3</xdr:col>
      <xdr:colOff>179644</xdr:colOff>
      <xdr:row>47</xdr:row>
      <xdr:rowOff>9526</xdr:rowOff>
    </xdr:from>
    <xdr:to>
      <xdr:col>17</xdr:col>
      <xdr:colOff>621</xdr:colOff>
      <xdr:row>49</xdr:row>
      <xdr:rowOff>3376</xdr:rowOff>
    </xdr:to>
    <xdr:pic>
      <xdr:nvPicPr>
        <xdr:cNvPr id="104" name="Resim 103">
          <a:extLst>
            <a:ext uri="{FF2B5EF4-FFF2-40B4-BE49-F238E27FC236}">
              <a16:creationId xmlns:a16="http://schemas.microsoft.com/office/drawing/2014/main" id="{356DCFD9-D3D2-47A7-9AC8-FDBB2CA4D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9719" y="10086976"/>
          <a:ext cx="3114722" cy="4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49</xdr:row>
      <xdr:rowOff>152400</xdr:rowOff>
    </xdr:from>
    <xdr:to>
      <xdr:col>4</xdr:col>
      <xdr:colOff>167551</xdr:colOff>
      <xdr:row>51</xdr:row>
      <xdr:rowOff>80493</xdr:rowOff>
    </xdr:to>
    <xdr:pic>
      <xdr:nvPicPr>
        <xdr:cNvPr id="105" name="Resim 104">
          <a:extLst>
            <a:ext uri="{FF2B5EF4-FFF2-40B4-BE49-F238E27FC236}">
              <a16:creationId xmlns:a16="http://schemas.microsoft.com/office/drawing/2014/main" id="{6FA3E5DA-6025-47BA-ACB6-61335E084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9101" y="10668000"/>
          <a:ext cx="720000" cy="3662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161925</xdr:rowOff>
    </xdr:from>
    <xdr:to>
      <xdr:col>4</xdr:col>
      <xdr:colOff>148500</xdr:colOff>
      <xdr:row>53</xdr:row>
      <xdr:rowOff>96189</xdr:rowOff>
    </xdr:to>
    <xdr:pic>
      <xdr:nvPicPr>
        <xdr:cNvPr id="106" name="Resim 105">
          <a:extLst>
            <a:ext uri="{FF2B5EF4-FFF2-40B4-BE49-F238E27FC236}">
              <a16:creationId xmlns:a16="http://schemas.microsoft.com/office/drawing/2014/main" id="{C9739497-9CE7-4460-AFC0-BFC9BA65E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00050" y="11115675"/>
          <a:ext cx="720000" cy="372414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53</xdr:row>
      <xdr:rowOff>161925</xdr:rowOff>
    </xdr:from>
    <xdr:to>
      <xdr:col>4</xdr:col>
      <xdr:colOff>129450</xdr:colOff>
      <xdr:row>55</xdr:row>
      <xdr:rowOff>130227</xdr:rowOff>
    </xdr:to>
    <xdr:pic>
      <xdr:nvPicPr>
        <xdr:cNvPr id="107" name="Resim 106">
          <a:extLst>
            <a:ext uri="{FF2B5EF4-FFF2-40B4-BE49-F238E27FC236}">
              <a16:creationId xmlns:a16="http://schemas.microsoft.com/office/drawing/2014/main" id="{3509B52B-580F-4E63-B4F2-88124598A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0" y="11553825"/>
          <a:ext cx="720000" cy="406452"/>
        </a:xfrm>
        <a:prstGeom prst="rect">
          <a:avLst/>
        </a:prstGeom>
      </xdr:spPr>
    </xdr:pic>
    <xdr:clientData/>
  </xdr:twoCellAnchor>
  <xdr:twoCellAnchor>
    <xdr:from>
      <xdr:col>7</xdr:col>
      <xdr:colOff>114300</xdr:colOff>
      <xdr:row>49</xdr:row>
      <xdr:rowOff>161926</xdr:rowOff>
    </xdr:from>
    <xdr:to>
      <xdr:col>7</xdr:col>
      <xdr:colOff>304800</xdr:colOff>
      <xdr:row>55</xdr:row>
      <xdr:rowOff>9526</xdr:rowOff>
    </xdr:to>
    <xdr:sp macro="" textlink="">
      <xdr:nvSpPr>
        <xdr:cNvPr id="108" name="Sağ Ayraç 107">
          <a:extLst>
            <a:ext uri="{FF2B5EF4-FFF2-40B4-BE49-F238E27FC236}">
              <a16:creationId xmlns:a16="http://schemas.microsoft.com/office/drawing/2014/main" id="{43239691-AE82-4EF5-9C5F-478A129D549D}"/>
            </a:ext>
          </a:extLst>
        </xdr:cNvPr>
        <xdr:cNvSpPr/>
      </xdr:nvSpPr>
      <xdr:spPr>
        <a:xfrm>
          <a:off x="1724025" y="10677526"/>
          <a:ext cx="190500" cy="11620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 editAs="oneCell">
    <xdr:from>
      <xdr:col>2</xdr:col>
      <xdr:colOff>28575</xdr:colOff>
      <xdr:row>60</xdr:row>
      <xdr:rowOff>171450</xdr:rowOff>
    </xdr:from>
    <xdr:to>
      <xdr:col>4</xdr:col>
      <xdr:colOff>177075</xdr:colOff>
      <xdr:row>62</xdr:row>
      <xdr:rowOff>85388</xdr:rowOff>
    </xdr:to>
    <xdr:pic>
      <xdr:nvPicPr>
        <xdr:cNvPr id="109" name="Resim 108">
          <a:extLst>
            <a:ext uri="{FF2B5EF4-FFF2-40B4-BE49-F238E27FC236}">
              <a16:creationId xmlns:a16="http://schemas.microsoft.com/office/drawing/2014/main" id="{68027E41-5B51-42C4-A04B-E8A0FC2AB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8625" y="13096875"/>
          <a:ext cx="720000" cy="352088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62</xdr:row>
      <xdr:rowOff>171450</xdr:rowOff>
    </xdr:from>
    <xdr:to>
      <xdr:col>4</xdr:col>
      <xdr:colOff>158025</xdr:colOff>
      <xdr:row>64</xdr:row>
      <xdr:rowOff>65321</xdr:rowOff>
    </xdr:to>
    <xdr:pic>
      <xdr:nvPicPr>
        <xdr:cNvPr id="110" name="Resim 109">
          <a:extLst>
            <a:ext uri="{FF2B5EF4-FFF2-40B4-BE49-F238E27FC236}">
              <a16:creationId xmlns:a16="http://schemas.microsoft.com/office/drawing/2014/main" id="{4D171A50-7FCE-4425-AD2F-CACCCA689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9575" y="13535025"/>
          <a:ext cx="720000" cy="33202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64</xdr:row>
      <xdr:rowOff>180976</xdr:rowOff>
    </xdr:from>
    <xdr:to>
      <xdr:col>4</xdr:col>
      <xdr:colOff>158025</xdr:colOff>
      <xdr:row>66</xdr:row>
      <xdr:rowOff>113735</xdr:rowOff>
    </xdr:to>
    <xdr:pic>
      <xdr:nvPicPr>
        <xdr:cNvPr id="111" name="Resim 110">
          <a:extLst>
            <a:ext uri="{FF2B5EF4-FFF2-40B4-BE49-F238E27FC236}">
              <a16:creationId xmlns:a16="http://schemas.microsoft.com/office/drawing/2014/main" id="{9F1D18F3-2E00-456C-B279-6963B1F07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09575" y="13982701"/>
          <a:ext cx="720000" cy="370909"/>
        </a:xfrm>
        <a:prstGeom prst="rect">
          <a:avLst/>
        </a:prstGeom>
      </xdr:spPr>
    </xdr:pic>
    <xdr:clientData/>
  </xdr:twoCellAnchor>
  <xdr:twoCellAnchor>
    <xdr:from>
      <xdr:col>7</xdr:col>
      <xdr:colOff>114300</xdr:colOff>
      <xdr:row>60</xdr:row>
      <xdr:rowOff>180976</xdr:rowOff>
    </xdr:from>
    <xdr:to>
      <xdr:col>7</xdr:col>
      <xdr:colOff>304800</xdr:colOff>
      <xdr:row>66</xdr:row>
      <xdr:rowOff>28576</xdr:rowOff>
    </xdr:to>
    <xdr:sp macro="" textlink="">
      <xdr:nvSpPr>
        <xdr:cNvPr id="112" name="Sağ Ayraç 111">
          <a:extLst>
            <a:ext uri="{FF2B5EF4-FFF2-40B4-BE49-F238E27FC236}">
              <a16:creationId xmlns:a16="http://schemas.microsoft.com/office/drawing/2014/main" id="{309C89EB-3234-4D0C-94A5-93510022DD0C}"/>
            </a:ext>
          </a:extLst>
        </xdr:cNvPr>
        <xdr:cNvSpPr/>
      </xdr:nvSpPr>
      <xdr:spPr>
        <a:xfrm>
          <a:off x="1724025" y="13106401"/>
          <a:ext cx="190500" cy="11620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 editAs="oneCell">
    <xdr:from>
      <xdr:col>2</xdr:col>
      <xdr:colOff>9525</xdr:colOff>
      <xdr:row>71</xdr:row>
      <xdr:rowOff>171450</xdr:rowOff>
    </xdr:from>
    <xdr:to>
      <xdr:col>4</xdr:col>
      <xdr:colOff>158025</xdr:colOff>
      <xdr:row>73</xdr:row>
      <xdr:rowOff>66492</xdr:rowOff>
    </xdr:to>
    <xdr:pic>
      <xdr:nvPicPr>
        <xdr:cNvPr id="113" name="Resim 112">
          <a:extLst>
            <a:ext uri="{FF2B5EF4-FFF2-40B4-BE49-F238E27FC236}">
              <a16:creationId xmlns:a16="http://schemas.microsoft.com/office/drawing/2014/main" id="{09B227CE-FCD6-4823-9C6E-F48AC0C0E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09575" y="15506700"/>
          <a:ext cx="720000" cy="33319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73</xdr:row>
      <xdr:rowOff>171450</xdr:rowOff>
    </xdr:from>
    <xdr:to>
      <xdr:col>4</xdr:col>
      <xdr:colOff>158025</xdr:colOff>
      <xdr:row>75</xdr:row>
      <xdr:rowOff>71895</xdr:rowOff>
    </xdr:to>
    <xdr:pic>
      <xdr:nvPicPr>
        <xdr:cNvPr id="114" name="Resim 113">
          <a:extLst>
            <a:ext uri="{FF2B5EF4-FFF2-40B4-BE49-F238E27FC236}">
              <a16:creationId xmlns:a16="http://schemas.microsoft.com/office/drawing/2014/main" id="{2CD46B6F-DB49-4BC9-9360-FDFF37CA7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09575" y="15944850"/>
          <a:ext cx="720000" cy="33859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75</xdr:row>
      <xdr:rowOff>180975</xdr:rowOff>
    </xdr:from>
    <xdr:to>
      <xdr:col>4</xdr:col>
      <xdr:colOff>196125</xdr:colOff>
      <xdr:row>77</xdr:row>
      <xdr:rowOff>110825</xdr:rowOff>
    </xdr:to>
    <xdr:pic>
      <xdr:nvPicPr>
        <xdr:cNvPr id="115" name="Resim 114">
          <a:extLst>
            <a:ext uri="{FF2B5EF4-FFF2-40B4-BE49-F238E27FC236}">
              <a16:creationId xmlns:a16="http://schemas.microsoft.com/office/drawing/2014/main" id="{B500E53A-3ECB-4107-9A4A-C8C537236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47675" y="16611600"/>
          <a:ext cx="720000" cy="3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77</xdr:row>
      <xdr:rowOff>190500</xdr:rowOff>
    </xdr:from>
    <xdr:to>
      <xdr:col>4</xdr:col>
      <xdr:colOff>177075</xdr:colOff>
      <xdr:row>79</xdr:row>
      <xdr:rowOff>102620</xdr:rowOff>
    </xdr:to>
    <xdr:pic>
      <xdr:nvPicPr>
        <xdr:cNvPr id="116" name="Resim 115">
          <a:extLst>
            <a:ext uri="{FF2B5EF4-FFF2-40B4-BE49-F238E27FC236}">
              <a16:creationId xmlns:a16="http://schemas.microsoft.com/office/drawing/2014/main" id="{C39EA9DB-C32E-423A-A474-4443C4BA4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28625" y="17059275"/>
          <a:ext cx="720000" cy="350270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69</xdr:row>
      <xdr:rowOff>66675</xdr:rowOff>
    </xdr:from>
    <xdr:to>
      <xdr:col>19</xdr:col>
      <xdr:colOff>52534</xdr:colOff>
      <xdr:row>71</xdr:row>
      <xdr:rowOff>60525</xdr:rowOff>
    </xdr:to>
    <xdr:pic>
      <xdr:nvPicPr>
        <xdr:cNvPr id="117" name="Resim 116">
          <a:extLst>
            <a:ext uri="{FF2B5EF4-FFF2-40B4-BE49-F238E27FC236}">
              <a16:creationId xmlns:a16="http://schemas.microsoft.com/office/drawing/2014/main" id="{2F351133-3CF7-4A5A-B351-84203E423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1050" y="14963775"/>
          <a:ext cx="3748234" cy="432000"/>
        </a:xfrm>
        <a:prstGeom prst="rect">
          <a:avLst/>
        </a:prstGeom>
      </xdr:spPr>
    </xdr:pic>
    <xdr:clientData/>
  </xdr:twoCellAnchor>
  <xdr:twoCellAnchor>
    <xdr:from>
      <xdr:col>7</xdr:col>
      <xdr:colOff>47625</xdr:colOff>
      <xdr:row>72</xdr:row>
      <xdr:rowOff>19051</xdr:rowOff>
    </xdr:from>
    <xdr:to>
      <xdr:col>7</xdr:col>
      <xdr:colOff>304800</xdr:colOff>
      <xdr:row>79</xdr:row>
      <xdr:rowOff>54294</xdr:rowOff>
    </xdr:to>
    <xdr:sp macro="" textlink="">
      <xdr:nvSpPr>
        <xdr:cNvPr id="118" name="Sağ Ayraç 117">
          <a:extLst>
            <a:ext uri="{FF2B5EF4-FFF2-40B4-BE49-F238E27FC236}">
              <a16:creationId xmlns:a16="http://schemas.microsoft.com/office/drawing/2014/main" id="{B8BE01E5-CCE7-4C4A-A6E6-CABA4599C47B}"/>
            </a:ext>
          </a:extLst>
        </xdr:cNvPr>
        <xdr:cNvSpPr/>
      </xdr:nvSpPr>
      <xdr:spPr>
        <a:xfrm>
          <a:off x="1828800" y="15792451"/>
          <a:ext cx="257175" cy="1568768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oneCellAnchor>
    <xdr:from>
      <xdr:col>3</xdr:col>
      <xdr:colOff>179644</xdr:colOff>
      <xdr:row>148</xdr:row>
      <xdr:rowOff>9526</xdr:rowOff>
    </xdr:from>
    <xdr:ext cx="3114722" cy="432000"/>
    <xdr:pic>
      <xdr:nvPicPr>
        <xdr:cNvPr id="120" name="Resim 119">
          <a:extLst>
            <a:ext uri="{FF2B5EF4-FFF2-40B4-BE49-F238E27FC236}">
              <a16:creationId xmlns:a16="http://schemas.microsoft.com/office/drawing/2014/main" id="{5DAF48F7-B63E-411B-ACB8-74BFB0709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9719" y="10306051"/>
          <a:ext cx="3114722" cy="432000"/>
        </a:xfrm>
        <a:prstGeom prst="rect">
          <a:avLst/>
        </a:prstGeom>
      </xdr:spPr>
    </xdr:pic>
    <xdr:clientData/>
  </xdr:oneCellAnchor>
  <xdr:oneCellAnchor>
    <xdr:from>
      <xdr:col>2</xdr:col>
      <xdr:colOff>19051</xdr:colOff>
      <xdr:row>150</xdr:row>
      <xdr:rowOff>152400</xdr:rowOff>
    </xdr:from>
    <xdr:ext cx="720000" cy="366243"/>
    <xdr:pic>
      <xdr:nvPicPr>
        <xdr:cNvPr id="121" name="Resim 120">
          <a:extLst>
            <a:ext uri="{FF2B5EF4-FFF2-40B4-BE49-F238E27FC236}">
              <a16:creationId xmlns:a16="http://schemas.microsoft.com/office/drawing/2014/main" id="{9540F19A-FA80-4554-B218-450A608A7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9101" y="10887075"/>
          <a:ext cx="720000" cy="36624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152</xdr:row>
      <xdr:rowOff>161925</xdr:rowOff>
    </xdr:from>
    <xdr:ext cx="720000" cy="372414"/>
    <xdr:pic>
      <xdr:nvPicPr>
        <xdr:cNvPr id="122" name="Resim 121">
          <a:extLst>
            <a:ext uri="{FF2B5EF4-FFF2-40B4-BE49-F238E27FC236}">
              <a16:creationId xmlns:a16="http://schemas.microsoft.com/office/drawing/2014/main" id="{804ACDF2-E55F-4616-8E27-C3B488E7E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00050" y="11334750"/>
          <a:ext cx="720000" cy="372414"/>
        </a:xfrm>
        <a:prstGeom prst="rect">
          <a:avLst/>
        </a:prstGeom>
      </xdr:spPr>
    </xdr:pic>
    <xdr:clientData/>
  </xdr:oneCellAnchor>
  <xdr:oneCellAnchor>
    <xdr:from>
      <xdr:col>1</xdr:col>
      <xdr:colOff>180975</xdr:colOff>
      <xdr:row>154</xdr:row>
      <xdr:rowOff>161925</xdr:rowOff>
    </xdr:from>
    <xdr:ext cx="720000" cy="406452"/>
    <xdr:pic>
      <xdr:nvPicPr>
        <xdr:cNvPr id="123" name="Resim 122">
          <a:extLst>
            <a:ext uri="{FF2B5EF4-FFF2-40B4-BE49-F238E27FC236}">
              <a16:creationId xmlns:a16="http://schemas.microsoft.com/office/drawing/2014/main" id="{01683F4F-CE60-4924-9419-7E6CCD830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0" y="11772900"/>
          <a:ext cx="720000" cy="406452"/>
        </a:xfrm>
        <a:prstGeom prst="rect">
          <a:avLst/>
        </a:prstGeom>
      </xdr:spPr>
    </xdr:pic>
    <xdr:clientData/>
  </xdr:oneCellAnchor>
  <xdr:twoCellAnchor>
    <xdr:from>
      <xdr:col>7</xdr:col>
      <xdr:colOff>190500</xdr:colOff>
      <xdr:row>150</xdr:row>
      <xdr:rowOff>152401</xdr:rowOff>
    </xdr:from>
    <xdr:to>
      <xdr:col>8</xdr:col>
      <xdr:colOff>66675</xdr:colOff>
      <xdr:row>156</xdr:row>
      <xdr:rowOff>1</xdr:rowOff>
    </xdr:to>
    <xdr:sp macro="" textlink="">
      <xdr:nvSpPr>
        <xdr:cNvPr id="124" name="Sağ Ayraç 123">
          <a:extLst>
            <a:ext uri="{FF2B5EF4-FFF2-40B4-BE49-F238E27FC236}">
              <a16:creationId xmlns:a16="http://schemas.microsoft.com/office/drawing/2014/main" id="{D8638F27-A239-4D97-9218-6D88919A13A0}"/>
            </a:ext>
          </a:extLst>
        </xdr:cNvPr>
        <xdr:cNvSpPr/>
      </xdr:nvSpPr>
      <xdr:spPr>
        <a:xfrm>
          <a:off x="1971675" y="25784176"/>
          <a:ext cx="190500" cy="11620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oneCellAnchor>
    <xdr:from>
      <xdr:col>2</xdr:col>
      <xdr:colOff>28575</xdr:colOff>
      <xdr:row>160</xdr:row>
      <xdr:rowOff>171450</xdr:rowOff>
    </xdr:from>
    <xdr:ext cx="720000" cy="352088"/>
    <xdr:pic>
      <xdr:nvPicPr>
        <xdr:cNvPr id="125" name="Resim 124">
          <a:extLst>
            <a:ext uri="{FF2B5EF4-FFF2-40B4-BE49-F238E27FC236}">
              <a16:creationId xmlns:a16="http://schemas.microsoft.com/office/drawing/2014/main" id="{250602BF-F27F-4B5B-8F07-AA3E77963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8625" y="13315950"/>
          <a:ext cx="720000" cy="352088"/>
        </a:xfrm>
        <a:prstGeom prst="rect">
          <a:avLst/>
        </a:prstGeom>
      </xdr:spPr>
    </xdr:pic>
    <xdr:clientData/>
  </xdr:oneCellAnchor>
  <xdr:oneCellAnchor>
    <xdr:from>
      <xdr:col>2</xdr:col>
      <xdr:colOff>9525</xdr:colOff>
      <xdr:row>162</xdr:row>
      <xdr:rowOff>171450</xdr:rowOff>
    </xdr:from>
    <xdr:ext cx="720000" cy="332021"/>
    <xdr:pic>
      <xdr:nvPicPr>
        <xdr:cNvPr id="126" name="Resim 125">
          <a:extLst>
            <a:ext uri="{FF2B5EF4-FFF2-40B4-BE49-F238E27FC236}">
              <a16:creationId xmlns:a16="http://schemas.microsoft.com/office/drawing/2014/main" id="{CB99D001-FC01-4FB2-B422-CDA7DF6FA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9575" y="13754100"/>
          <a:ext cx="720000" cy="332021"/>
        </a:xfrm>
        <a:prstGeom prst="rect">
          <a:avLst/>
        </a:prstGeom>
      </xdr:spPr>
    </xdr:pic>
    <xdr:clientData/>
  </xdr:oneCellAnchor>
  <xdr:oneCellAnchor>
    <xdr:from>
      <xdr:col>2</xdr:col>
      <xdr:colOff>9525</xdr:colOff>
      <xdr:row>164</xdr:row>
      <xdr:rowOff>180976</xdr:rowOff>
    </xdr:from>
    <xdr:ext cx="720000" cy="370909"/>
    <xdr:pic>
      <xdr:nvPicPr>
        <xdr:cNvPr id="127" name="Resim 126">
          <a:extLst>
            <a:ext uri="{FF2B5EF4-FFF2-40B4-BE49-F238E27FC236}">
              <a16:creationId xmlns:a16="http://schemas.microsoft.com/office/drawing/2014/main" id="{A9B7B5AE-7A17-4576-9F76-68ED72CCC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09575" y="14201776"/>
          <a:ext cx="720000" cy="370909"/>
        </a:xfrm>
        <a:prstGeom prst="rect">
          <a:avLst/>
        </a:prstGeom>
      </xdr:spPr>
    </xdr:pic>
    <xdr:clientData/>
  </xdr:oneCellAnchor>
  <xdr:twoCellAnchor>
    <xdr:from>
      <xdr:col>7</xdr:col>
      <xdr:colOff>114300</xdr:colOff>
      <xdr:row>160</xdr:row>
      <xdr:rowOff>180976</xdr:rowOff>
    </xdr:from>
    <xdr:to>
      <xdr:col>7</xdr:col>
      <xdr:colOff>304800</xdr:colOff>
      <xdr:row>166</xdr:row>
      <xdr:rowOff>28576</xdr:rowOff>
    </xdr:to>
    <xdr:sp macro="" textlink="">
      <xdr:nvSpPr>
        <xdr:cNvPr id="128" name="Sağ Ayraç 127">
          <a:extLst>
            <a:ext uri="{FF2B5EF4-FFF2-40B4-BE49-F238E27FC236}">
              <a16:creationId xmlns:a16="http://schemas.microsoft.com/office/drawing/2014/main" id="{3BB2CF0D-6B8F-417C-A89D-FE36A839562C}"/>
            </a:ext>
          </a:extLst>
        </xdr:cNvPr>
        <xdr:cNvSpPr/>
      </xdr:nvSpPr>
      <xdr:spPr>
        <a:xfrm>
          <a:off x="1895475" y="13325476"/>
          <a:ext cx="190500" cy="11620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 editAs="oneCell">
    <xdr:from>
      <xdr:col>3</xdr:col>
      <xdr:colOff>133351</xdr:colOff>
      <xdr:row>158</xdr:row>
      <xdr:rowOff>66675</xdr:rowOff>
    </xdr:from>
    <xdr:to>
      <xdr:col>17</xdr:col>
      <xdr:colOff>164546</xdr:colOff>
      <xdr:row>160</xdr:row>
      <xdr:rowOff>60525</xdr:rowOff>
    </xdr:to>
    <xdr:pic>
      <xdr:nvPicPr>
        <xdr:cNvPr id="147" name="Resim 146">
          <a:extLst>
            <a:ext uri="{FF2B5EF4-FFF2-40B4-BE49-F238E27FC236}">
              <a16:creationId xmlns:a16="http://schemas.microsoft.com/office/drawing/2014/main" id="{5F1ABB41-6B99-4FAA-A857-9B9B053A3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33426" y="25698450"/>
          <a:ext cx="3326845" cy="43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152401</xdr:colOff>
      <xdr:row>58</xdr:row>
      <xdr:rowOff>76200</xdr:rowOff>
    </xdr:from>
    <xdr:to>
      <xdr:col>17</xdr:col>
      <xdr:colOff>183596</xdr:colOff>
      <xdr:row>60</xdr:row>
      <xdr:rowOff>70050</xdr:rowOff>
    </xdr:to>
    <xdr:pic>
      <xdr:nvPicPr>
        <xdr:cNvPr id="148" name="Resim 147">
          <a:extLst>
            <a:ext uri="{FF2B5EF4-FFF2-40B4-BE49-F238E27FC236}">
              <a16:creationId xmlns:a16="http://schemas.microsoft.com/office/drawing/2014/main" id="{DD0E46BC-5C89-4525-ADA0-997863B5F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52476" y="12782550"/>
          <a:ext cx="3326845" cy="4320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194</xdr:row>
      <xdr:rowOff>97155</xdr:rowOff>
    </xdr:from>
    <xdr:to>
      <xdr:col>19</xdr:col>
      <xdr:colOff>127826</xdr:colOff>
      <xdr:row>196</xdr:row>
      <xdr:rowOff>91005</xdr:rowOff>
    </xdr:to>
    <xdr:pic>
      <xdr:nvPicPr>
        <xdr:cNvPr id="150" name="Resim 149">
          <a:extLst>
            <a:ext uri="{FF2B5EF4-FFF2-40B4-BE49-F238E27FC236}">
              <a16:creationId xmlns:a16="http://schemas.microsoft.com/office/drawing/2014/main" id="{923D129B-0CBE-4A62-8271-09527AD80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527810" y="42967275"/>
          <a:ext cx="3050096" cy="43581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197</xdr:row>
      <xdr:rowOff>104775</xdr:rowOff>
    </xdr:from>
    <xdr:to>
      <xdr:col>19</xdr:col>
      <xdr:colOff>174930</xdr:colOff>
      <xdr:row>199</xdr:row>
      <xdr:rowOff>98625</xdr:rowOff>
    </xdr:to>
    <xdr:pic>
      <xdr:nvPicPr>
        <xdr:cNvPr id="151" name="Resim 150">
          <a:extLst>
            <a:ext uri="{FF2B5EF4-FFF2-40B4-BE49-F238E27FC236}">
              <a16:creationId xmlns:a16="http://schemas.microsoft.com/office/drawing/2014/main" id="{C231BB10-3AD6-4897-B499-44FA7C5B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524000" y="43262550"/>
          <a:ext cx="3127680" cy="4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202</xdr:row>
      <xdr:rowOff>133350</xdr:rowOff>
    </xdr:from>
    <xdr:to>
      <xdr:col>11</xdr:col>
      <xdr:colOff>153898</xdr:colOff>
      <xdr:row>204</xdr:row>
      <xdr:rowOff>104775</xdr:rowOff>
    </xdr:to>
    <xdr:pic>
      <xdr:nvPicPr>
        <xdr:cNvPr id="157" name="Resim 156">
          <a:extLst>
            <a:ext uri="{FF2B5EF4-FFF2-40B4-BE49-F238E27FC236}">
              <a16:creationId xmlns:a16="http://schemas.microsoft.com/office/drawing/2014/main" id="{A795F0B8-E705-4B0D-8A64-AE328A8BD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09800" y="37595175"/>
          <a:ext cx="639673" cy="409575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204</xdr:row>
      <xdr:rowOff>142875</xdr:rowOff>
    </xdr:from>
    <xdr:to>
      <xdr:col>11</xdr:col>
      <xdr:colOff>188326</xdr:colOff>
      <xdr:row>206</xdr:row>
      <xdr:rowOff>114300</xdr:rowOff>
    </xdr:to>
    <xdr:pic>
      <xdr:nvPicPr>
        <xdr:cNvPr id="158" name="Resim 157">
          <a:extLst>
            <a:ext uri="{FF2B5EF4-FFF2-40B4-BE49-F238E27FC236}">
              <a16:creationId xmlns:a16="http://schemas.microsoft.com/office/drawing/2014/main" id="{47B1EA58-0802-4A34-A7F0-DF2B67874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38375" y="38042850"/>
          <a:ext cx="645526" cy="409575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206</xdr:row>
      <xdr:rowOff>161925</xdr:rowOff>
    </xdr:from>
    <xdr:to>
      <xdr:col>11</xdr:col>
      <xdr:colOff>190500</xdr:colOff>
      <xdr:row>208</xdr:row>
      <xdr:rowOff>154668</xdr:rowOff>
    </xdr:to>
    <xdr:pic>
      <xdr:nvPicPr>
        <xdr:cNvPr id="159" name="Resim 158">
          <a:extLst>
            <a:ext uri="{FF2B5EF4-FFF2-40B4-BE49-F238E27FC236}">
              <a16:creationId xmlns:a16="http://schemas.microsoft.com/office/drawing/2014/main" id="{589A09C0-D60B-453D-A639-7AE05437B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162175" y="38500050"/>
          <a:ext cx="723900" cy="430893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208</xdr:row>
      <xdr:rowOff>190500</xdr:rowOff>
    </xdr:from>
    <xdr:to>
      <xdr:col>11</xdr:col>
      <xdr:colOff>161926</xdr:colOff>
      <xdr:row>210</xdr:row>
      <xdr:rowOff>133350</xdr:rowOff>
    </xdr:to>
    <xdr:pic>
      <xdr:nvPicPr>
        <xdr:cNvPr id="160" name="Resim 159">
          <a:extLst>
            <a:ext uri="{FF2B5EF4-FFF2-40B4-BE49-F238E27FC236}">
              <a16:creationId xmlns:a16="http://schemas.microsoft.com/office/drawing/2014/main" id="{659C4E2A-98C5-4B8C-9E11-4D2882A94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286000" y="38966775"/>
          <a:ext cx="571501" cy="381000"/>
        </a:xfrm>
        <a:prstGeom prst="rect">
          <a:avLst/>
        </a:prstGeom>
      </xdr:spPr>
    </xdr:pic>
    <xdr:clientData/>
  </xdr:twoCellAnchor>
  <xdr:oneCellAnchor>
    <xdr:from>
      <xdr:col>18</xdr:col>
      <xdr:colOff>123826</xdr:colOff>
      <xdr:row>202</xdr:row>
      <xdr:rowOff>171451</xdr:rowOff>
    </xdr:from>
    <xdr:ext cx="687641" cy="360000"/>
    <xdr:pic>
      <xdr:nvPicPr>
        <xdr:cNvPr id="165" name="Resim 164">
          <a:extLst>
            <a:ext uri="{FF2B5EF4-FFF2-40B4-BE49-F238E27FC236}">
              <a16:creationId xmlns:a16="http://schemas.microsoft.com/office/drawing/2014/main" id="{BAAF4269-00E0-46BE-8B64-68E3A2DE1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219576" y="40481251"/>
          <a:ext cx="687641" cy="360000"/>
        </a:xfrm>
        <a:prstGeom prst="rect">
          <a:avLst/>
        </a:prstGeom>
      </xdr:spPr>
    </xdr:pic>
    <xdr:clientData/>
  </xdr:oneCellAnchor>
  <xdr:oneCellAnchor>
    <xdr:from>
      <xdr:col>18</xdr:col>
      <xdr:colOff>266700</xdr:colOff>
      <xdr:row>204</xdr:row>
      <xdr:rowOff>152400</xdr:rowOff>
    </xdr:from>
    <xdr:ext cx="502326" cy="432000"/>
    <xdr:pic>
      <xdr:nvPicPr>
        <xdr:cNvPr id="166" name="Resim 165">
          <a:extLst>
            <a:ext uri="{FF2B5EF4-FFF2-40B4-BE49-F238E27FC236}">
              <a16:creationId xmlns:a16="http://schemas.microsoft.com/office/drawing/2014/main" id="{29F4C323-7DFE-4CED-A1C3-DF3B52A1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362450" y="40900350"/>
          <a:ext cx="502326" cy="432000"/>
        </a:xfrm>
        <a:prstGeom prst="rect">
          <a:avLst/>
        </a:prstGeom>
      </xdr:spPr>
    </xdr:pic>
    <xdr:clientData/>
  </xdr:oneCellAnchor>
  <xdr:oneCellAnchor>
    <xdr:from>
      <xdr:col>18</xdr:col>
      <xdr:colOff>228600</xdr:colOff>
      <xdr:row>206</xdr:row>
      <xdr:rowOff>190500</xdr:rowOff>
    </xdr:from>
    <xdr:ext cx="619125" cy="363613"/>
    <xdr:pic>
      <xdr:nvPicPr>
        <xdr:cNvPr id="167" name="Resim 166">
          <a:extLst>
            <a:ext uri="{FF2B5EF4-FFF2-40B4-BE49-F238E27FC236}">
              <a16:creationId xmlns:a16="http://schemas.microsoft.com/office/drawing/2014/main" id="{6B7E0FBB-8442-460F-9A3B-A7C5288B4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324350" y="41376600"/>
          <a:ext cx="619125" cy="363613"/>
        </a:xfrm>
        <a:prstGeom prst="rect">
          <a:avLst/>
        </a:prstGeom>
      </xdr:spPr>
    </xdr:pic>
    <xdr:clientData/>
  </xdr:oneCellAnchor>
  <xdr:oneCellAnchor>
    <xdr:from>
      <xdr:col>18</xdr:col>
      <xdr:colOff>266700</xdr:colOff>
      <xdr:row>208</xdr:row>
      <xdr:rowOff>209551</xdr:rowOff>
    </xdr:from>
    <xdr:ext cx="560229" cy="342899"/>
    <xdr:pic>
      <xdr:nvPicPr>
        <xdr:cNvPr id="168" name="Resim 167">
          <a:extLst>
            <a:ext uri="{FF2B5EF4-FFF2-40B4-BE49-F238E27FC236}">
              <a16:creationId xmlns:a16="http://schemas.microsoft.com/office/drawing/2014/main" id="{CFA33E75-4F96-416B-A8D0-E90EDA073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362450" y="41833801"/>
          <a:ext cx="560229" cy="342899"/>
        </a:xfrm>
        <a:prstGeom prst="rect">
          <a:avLst/>
        </a:prstGeom>
      </xdr:spPr>
    </xdr:pic>
    <xdr:clientData/>
  </xdr:oneCellAnchor>
  <xdr:twoCellAnchor editAs="oneCell">
    <xdr:from>
      <xdr:col>1</xdr:col>
      <xdr:colOff>133350</xdr:colOff>
      <xdr:row>124</xdr:row>
      <xdr:rowOff>57151</xdr:rowOff>
    </xdr:from>
    <xdr:to>
      <xdr:col>24</xdr:col>
      <xdr:colOff>111525</xdr:colOff>
      <xdr:row>134</xdr:row>
      <xdr:rowOff>126859</xdr:rowOff>
    </xdr:to>
    <xdr:pic>
      <xdr:nvPicPr>
        <xdr:cNvPr id="170" name="Resim 169">
          <a:extLst>
            <a:ext uri="{FF2B5EF4-FFF2-40B4-BE49-F238E27FC236}">
              <a16:creationId xmlns:a16="http://schemas.microsoft.com/office/drawing/2014/main" id="{42979BC5-2148-4693-946A-76CFF768F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3375" y="27222451"/>
          <a:ext cx="5436000" cy="2260458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114300</xdr:colOff>
      <xdr:row>135</xdr:row>
      <xdr:rowOff>123825</xdr:rowOff>
    </xdr:from>
    <xdr:to>
      <xdr:col>24</xdr:col>
      <xdr:colOff>92475</xdr:colOff>
      <xdr:row>145</xdr:row>
      <xdr:rowOff>198075</xdr:rowOff>
    </xdr:to>
    <xdr:pic>
      <xdr:nvPicPr>
        <xdr:cNvPr id="171" name="Resim 170">
          <a:extLst>
            <a:ext uri="{FF2B5EF4-FFF2-40B4-BE49-F238E27FC236}">
              <a16:creationId xmlns:a16="http://schemas.microsoft.com/office/drawing/2014/main" id="{894B4179-1CAB-49CA-9D5D-B423BED13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14325" y="29698950"/>
          <a:ext cx="5436000" cy="2265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123825</xdr:colOff>
      <xdr:row>113</xdr:row>
      <xdr:rowOff>76201</xdr:rowOff>
    </xdr:from>
    <xdr:to>
      <xdr:col>24</xdr:col>
      <xdr:colOff>102000</xdr:colOff>
      <xdr:row>123</xdr:row>
      <xdr:rowOff>149242</xdr:rowOff>
    </xdr:to>
    <xdr:pic>
      <xdr:nvPicPr>
        <xdr:cNvPr id="172" name="Resim 171">
          <a:extLst>
            <a:ext uri="{FF2B5EF4-FFF2-40B4-BE49-F238E27FC236}">
              <a16:creationId xmlns:a16="http://schemas.microsoft.com/office/drawing/2014/main" id="{52B1465B-BE2A-4254-B9ED-6F58CE886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23850" y="24831676"/>
          <a:ext cx="5436000" cy="2263791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oneCellAnchor>
    <xdr:from>
      <xdr:col>3</xdr:col>
      <xdr:colOff>179644</xdr:colOff>
      <xdr:row>169</xdr:row>
      <xdr:rowOff>9526</xdr:rowOff>
    </xdr:from>
    <xdr:ext cx="3114722" cy="432000"/>
    <xdr:pic>
      <xdr:nvPicPr>
        <xdr:cNvPr id="173" name="Resim 172">
          <a:extLst>
            <a:ext uri="{FF2B5EF4-FFF2-40B4-BE49-F238E27FC236}">
              <a16:creationId xmlns:a16="http://schemas.microsoft.com/office/drawing/2014/main" id="{105C33C0-E3AB-4910-8FD7-9232B12E0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9719" y="25203151"/>
          <a:ext cx="3114722" cy="432000"/>
        </a:xfrm>
        <a:prstGeom prst="rect">
          <a:avLst/>
        </a:prstGeom>
      </xdr:spPr>
    </xdr:pic>
    <xdr:clientData/>
  </xdr:oneCellAnchor>
  <xdr:oneCellAnchor>
    <xdr:from>
      <xdr:col>2</xdr:col>
      <xdr:colOff>19051</xdr:colOff>
      <xdr:row>171</xdr:row>
      <xdr:rowOff>152400</xdr:rowOff>
    </xdr:from>
    <xdr:ext cx="720000" cy="366243"/>
    <xdr:pic>
      <xdr:nvPicPr>
        <xdr:cNvPr id="174" name="Resim 173">
          <a:extLst>
            <a:ext uri="{FF2B5EF4-FFF2-40B4-BE49-F238E27FC236}">
              <a16:creationId xmlns:a16="http://schemas.microsoft.com/office/drawing/2014/main" id="{920E5682-1CDF-470A-8E61-8A6B7DE1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9101" y="25784175"/>
          <a:ext cx="720000" cy="36624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173</xdr:row>
      <xdr:rowOff>161925</xdr:rowOff>
    </xdr:from>
    <xdr:ext cx="720000" cy="372414"/>
    <xdr:pic>
      <xdr:nvPicPr>
        <xdr:cNvPr id="175" name="Resim 174">
          <a:extLst>
            <a:ext uri="{FF2B5EF4-FFF2-40B4-BE49-F238E27FC236}">
              <a16:creationId xmlns:a16="http://schemas.microsoft.com/office/drawing/2014/main" id="{1C130A48-8FB8-4DA2-9982-DD6F3604B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00050" y="26231850"/>
          <a:ext cx="720000" cy="372414"/>
        </a:xfrm>
        <a:prstGeom prst="rect">
          <a:avLst/>
        </a:prstGeom>
      </xdr:spPr>
    </xdr:pic>
    <xdr:clientData/>
  </xdr:oneCellAnchor>
  <xdr:oneCellAnchor>
    <xdr:from>
      <xdr:col>1</xdr:col>
      <xdr:colOff>180975</xdr:colOff>
      <xdr:row>175</xdr:row>
      <xdr:rowOff>161925</xdr:rowOff>
    </xdr:from>
    <xdr:ext cx="720000" cy="406452"/>
    <xdr:pic>
      <xdr:nvPicPr>
        <xdr:cNvPr id="176" name="Resim 175">
          <a:extLst>
            <a:ext uri="{FF2B5EF4-FFF2-40B4-BE49-F238E27FC236}">
              <a16:creationId xmlns:a16="http://schemas.microsoft.com/office/drawing/2014/main" id="{2F4F2343-E73F-46AB-8CE5-9357FA7F4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0" y="26670000"/>
          <a:ext cx="720000" cy="406452"/>
        </a:xfrm>
        <a:prstGeom prst="rect">
          <a:avLst/>
        </a:prstGeom>
      </xdr:spPr>
    </xdr:pic>
    <xdr:clientData/>
  </xdr:oneCellAnchor>
  <xdr:twoCellAnchor>
    <xdr:from>
      <xdr:col>7</xdr:col>
      <xdr:colOff>171450</xdr:colOff>
      <xdr:row>171</xdr:row>
      <xdr:rowOff>190501</xdr:rowOff>
    </xdr:from>
    <xdr:to>
      <xdr:col>8</xdr:col>
      <xdr:colOff>47625</xdr:colOff>
      <xdr:row>177</xdr:row>
      <xdr:rowOff>38101</xdr:rowOff>
    </xdr:to>
    <xdr:sp macro="" textlink="">
      <xdr:nvSpPr>
        <xdr:cNvPr id="177" name="Sağ Ayraç 176">
          <a:extLst>
            <a:ext uri="{FF2B5EF4-FFF2-40B4-BE49-F238E27FC236}">
              <a16:creationId xmlns:a16="http://schemas.microsoft.com/office/drawing/2014/main" id="{0D352689-E475-40CC-8266-8B4C68DA6581}"/>
            </a:ext>
          </a:extLst>
        </xdr:cNvPr>
        <xdr:cNvSpPr/>
      </xdr:nvSpPr>
      <xdr:spPr>
        <a:xfrm>
          <a:off x="1952625" y="37652326"/>
          <a:ext cx="190500" cy="11620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oneCellAnchor>
    <xdr:from>
      <xdr:col>2</xdr:col>
      <xdr:colOff>28575</xdr:colOff>
      <xdr:row>185</xdr:row>
      <xdr:rowOff>171450</xdr:rowOff>
    </xdr:from>
    <xdr:ext cx="720000" cy="352088"/>
    <xdr:pic>
      <xdr:nvPicPr>
        <xdr:cNvPr id="178" name="Resim 177">
          <a:extLst>
            <a:ext uri="{FF2B5EF4-FFF2-40B4-BE49-F238E27FC236}">
              <a16:creationId xmlns:a16="http://schemas.microsoft.com/office/drawing/2014/main" id="{A2BDF236-1A4D-4E47-8259-976B7FD6C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8625" y="27993975"/>
          <a:ext cx="720000" cy="352088"/>
        </a:xfrm>
        <a:prstGeom prst="rect">
          <a:avLst/>
        </a:prstGeom>
      </xdr:spPr>
    </xdr:pic>
    <xdr:clientData/>
  </xdr:oneCellAnchor>
  <xdr:oneCellAnchor>
    <xdr:from>
      <xdr:col>2</xdr:col>
      <xdr:colOff>9525</xdr:colOff>
      <xdr:row>187</xdr:row>
      <xdr:rowOff>171450</xdr:rowOff>
    </xdr:from>
    <xdr:ext cx="720000" cy="332021"/>
    <xdr:pic>
      <xdr:nvPicPr>
        <xdr:cNvPr id="179" name="Resim 178">
          <a:extLst>
            <a:ext uri="{FF2B5EF4-FFF2-40B4-BE49-F238E27FC236}">
              <a16:creationId xmlns:a16="http://schemas.microsoft.com/office/drawing/2014/main" id="{ABE05455-DFC4-4D2B-A02D-E0047D330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9575" y="28432125"/>
          <a:ext cx="720000" cy="332021"/>
        </a:xfrm>
        <a:prstGeom prst="rect">
          <a:avLst/>
        </a:prstGeom>
      </xdr:spPr>
    </xdr:pic>
    <xdr:clientData/>
  </xdr:oneCellAnchor>
  <xdr:oneCellAnchor>
    <xdr:from>
      <xdr:col>2</xdr:col>
      <xdr:colOff>9525</xdr:colOff>
      <xdr:row>189</xdr:row>
      <xdr:rowOff>180976</xdr:rowOff>
    </xdr:from>
    <xdr:ext cx="720000" cy="370909"/>
    <xdr:pic>
      <xdr:nvPicPr>
        <xdr:cNvPr id="180" name="Resim 179">
          <a:extLst>
            <a:ext uri="{FF2B5EF4-FFF2-40B4-BE49-F238E27FC236}">
              <a16:creationId xmlns:a16="http://schemas.microsoft.com/office/drawing/2014/main" id="{ED6D8A57-341D-407D-AD1B-D946E3573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09575" y="28879801"/>
          <a:ext cx="720000" cy="370909"/>
        </a:xfrm>
        <a:prstGeom prst="rect">
          <a:avLst/>
        </a:prstGeom>
      </xdr:spPr>
    </xdr:pic>
    <xdr:clientData/>
  </xdr:oneCellAnchor>
  <xdr:twoCellAnchor>
    <xdr:from>
      <xdr:col>7</xdr:col>
      <xdr:colOff>114300</xdr:colOff>
      <xdr:row>185</xdr:row>
      <xdr:rowOff>180976</xdr:rowOff>
    </xdr:from>
    <xdr:to>
      <xdr:col>7</xdr:col>
      <xdr:colOff>304800</xdr:colOff>
      <xdr:row>191</xdr:row>
      <xdr:rowOff>28576</xdr:rowOff>
    </xdr:to>
    <xdr:sp macro="" textlink="">
      <xdr:nvSpPr>
        <xdr:cNvPr id="181" name="Sağ Ayraç 180">
          <a:extLst>
            <a:ext uri="{FF2B5EF4-FFF2-40B4-BE49-F238E27FC236}">
              <a16:creationId xmlns:a16="http://schemas.microsoft.com/office/drawing/2014/main" id="{F541CAA7-2D9B-4E92-A75F-902801FDC96C}"/>
            </a:ext>
          </a:extLst>
        </xdr:cNvPr>
        <xdr:cNvSpPr/>
      </xdr:nvSpPr>
      <xdr:spPr>
        <a:xfrm>
          <a:off x="1895475" y="28003501"/>
          <a:ext cx="190500" cy="11620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oneCellAnchor>
    <xdr:from>
      <xdr:col>3</xdr:col>
      <xdr:colOff>133351</xdr:colOff>
      <xdr:row>183</xdr:row>
      <xdr:rowOff>66675</xdr:rowOff>
    </xdr:from>
    <xdr:ext cx="3326845" cy="432000"/>
    <xdr:pic>
      <xdr:nvPicPr>
        <xdr:cNvPr id="182" name="Resim 181">
          <a:extLst>
            <a:ext uri="{FF2B5EF4-FFF2-40B4-BE49-F238E27FC236}">
              <a16:creationId xmlns:a16="http://schemas.microsoft.com/office/drawing/2014/main" id="{C3388A64-33B2-4FDF-9EAD-98684003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591301" y="40157400"/>
          <a:ext cx="3326845" cy="432000"/>
        </a:xfrm>
        <a:prstGeom prst="rect">
          <a:avLst/>
        </a:prstGeom>
      </xdr:spPr>
    </xdr:pic>
    <xdr:clientData/>
  </xdr:oneCellAnchor>
  <xdr:oneCellAnchor>
    <xdr:from>
      <xdr:col>17</xdr:col>
      <xdr:colOff>85724</xdr:colOff>
      <xdr:row>236</xdr:row>
      <xdr:rowOff>114300</xdr:rowOff>
    </xdr:from>
    <xdr:ext cx="1591079" cy="240755"/>
    <xdr:pic>
      <xdr:nvPicPr>
        <xdr:cNvPr id="183" name="Resim 182">
          <a:extLst>
            <a:ext uri="{FF2B5EF4-FFF2-40B4-BE49-F238E27FC236}">
              <a16:creationId xmlns:a16="http://schemas.microsoft.com/office/drawing/2014/main" id="{3C07CCC9-5F24-49BA-B12A-4183D9E2C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724" y="8220075"/>
          <a:ext cx="1591079" cy="240755"/>
        </a:xfrm>
        <a:prstGeom prst="rect">
          <a:avLst/>
        </a:prstGeom>
      </xdr:spPr>
    </xdr:pic>
    <xdr:clientData/>
  </xdr:oneCellAnchor>
  <xdr:twoCellAnchor editAs="oneCell">
    <xdr:from>
      <xdr:col>50</xdr:col>
      <xdr:colOff>45969</xdr:colOff>
      <xdr:row>229</xdr:row>
      <xdr:rowOff>142876</xdr:rowOff>
    </xdr:from>
    <xdr:to>
      <xdr:col>55</xdr:col>
      <xdr:colOff>171712</xdr:colOff>
      <xdr:row>238</xdr:row>
      <xdr:rowOff>95251</xdr:rowOff>
    </xdr:to>
    <xdr:pic>
      <xdr:nvPicPr>
        <xdr:cNvPr id="184" name="Resim 183">
          <a:extLst>
            <a:ext uri="{FF2B5EF4-FFF2-40B4-BE49-F238E27FC236}">
              <a16:creationId xmlns:a16="http://schemas.microsoft.com/office/drawing/2014/main" id="{F7A7A871-7BA8-4A93-8475-FDEDCA01E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2647544" y="50311051"/>
          <a:ext cx="1230643" cy="1924050"/>
        </a:xfrm>
        <a:prstGeom prst="rect">
          <a:avLst/>
        </a:prstGeom>
      </xdr:spPr>
    </xdr:pic>
    <xdr:clientData/>
  </xdr:twoCellAnchor>
  <xdr:twoCellAnchor editAs="oneCell">
    <xdr:from>
      <xdr:col>52</xdr:col>
      <xdr:colOff>161924</xdr:colOff>
      <xdr:row>239</xdr:row>
      <xdr:rowOff>115484</xdr:rowOff>
    </xdr:from>
    <xdr:to>
      <xdr:col>58</xdr:col>
      <xdr:colOff>104999</xdr:colOff>
      <xdr:row>242</xdr:row>
      <xdr:rowOff>114429</xdr:rowOff>
    </xdr:to>
    <xdr:pic>
      <xdr:nvPicPr>
        <xdr:cNvPr id="185" name="Resim 184">
          <a:extLst>
            <a:ext uri="{FF2B5EF4-FFF2-40B4-BE49-F238E27FC236}">
              <a16:creationId xmlns:a16="http://schemas.microsoft.com/office/drawing/2014/main" id="{90B22EE3-8CFD-4A3C-AF97-95C7A5BCE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3268324" y="52474409"/>
          <a:ext cx="1143225" cy="65617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240</xdr:row>
      <xdr:rowOff>209549</xdr:rowOff>
    </xdr:from>
    <xdr:to>
      <xdr:col>8</xdr:col>
      <xdr:colOff>91710</xdr:colOff>
      <xdr:row>250</xdr:row>
      <xdr:rowOff>19050</xdr:rowOff>
    </xdr:to>
    <xdr:pic>
      <xdr:nvPicPr>
        <xdr:cNvPr id="186" name="Resim 185">
          <a:extLst>
            <a:ext uri="{FF2B5EF4-FFF2-40B4-BE49-F238E27FC236}">
              <a16:creationId xmlns:a16="http://schemas.microsoft.com/office/drawing/2014/main" id="{1D9868FD-E31E-45A1-93CE-3F300FB79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2876" y="52787549"/>
          <a:ext cx="2044334" cy="2000251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9</xdr:col>
      <xdr:colOff>88056</xdr:colOff>
      <xdr:row>240</xdr:row>
      <xdr:rowOff>209549</xdr:rowOff>
    </xdr:from>
    <xdr:to>
      <xdr:col>25</xdr:col>
      <xdr:colOff>82880</xdr:colOff>
      <xdr:row>259</xdr:row>
      <xdr:rowOff>95249</xdr:rowOff>
    </xdr:to>
    <xdr:pic>
      <xdr:nvPicPr>
        <xdr:cNvPr id="187" name="Resim 186">
          <a:extLst>
            <a:ext uri="{FF2B5EF4-FFF2-40B4-BE49-F238E27FC236}">
              <a16:creationId xmlns:a16="http://schemas.microsoft.com/office/drawing/2014/main" id="{5B737A40-770E-4441-949E-C4ACDFC4B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383581" y="52787549"/>
          <a:ext cx="3557174" cy="40481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oneCellAnchor>
    <xdr:from>
      <xdr:col>3</xdr:col>
      <xdr:colOff>179644</xdr:colOff>
      <xdr:row>279</xdr:row>
      <xdr:rowOff>9526</xdr:rowOff>
    </xdr:from>
    <xdr:ext cx="3114722" cy="432000"/>
    <xdr:pic>
      <xdr:nvPicPr>
        <xdr:cNvPr id="189" name="Resim 188">
          <a:extLst>
            <a:ext uri="{FF2B5EF4-FFF2-40B4-BE49-F238E27FC236}">
              <a16:creationId xmlns:a16="http://schemas.microsoft.com/office/drawing/2014/main" id="{2B70BA92-D11F-4286-941E-71F712E9B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9719" y="10306051"/>
          <a:ext cx="3114722" cy="432000"/>
        </a:xfrm>
        <a:prstGeom prst="rect">
          <a:avLst/>
        </a:prstGeom>
      </xdr:spPr>
    </xdr:pic>
    <xdr:clientData/>
  </xdr:oneCellAnchor>
  <xdr:oneCellAnchor>
    <xdr:from>
      <xdr:col>2</xdr:col>
      <xdr:colOff>19051</xdr:colOff>
      <xdr:row>281</xdr:row>
      <xdr:rowOff>152400</xdr:rowOff>
    </xdr:from>
    <xdr:ext cx="720000" cy="366243"/>
    <xdr:pic>
      <xdr:nvPicPr>
        <xdr:cNvPr id="190" name="Resim 189">
          <a:extLst>
            <a:ext uri="{FF2B5EF4-FFF2-40B4-BE49-F238E27FC236}">
              <a16:creationId xmlns:a16="http://schemas.microsoft.com/office/drawing/2014/main" id="{04A11353-E788-469E-A4B4-BB626BC8F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9101" y="10887075"/>
          <a:ext cx="720000" cy="36624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283</xdr:row>
      <xdr:rowOff>161925</xdr:rowOff>
    </xdr:from>
    <xdr:ext cx="720000" cy="372414"/>
    <xdr:pic>
      <xdr:nvPicPr>
        <xdr:cNvPr id="191" name="Resim 190">
          <a:extLst>
            <a:ext uri="{FF2B5EF4-FFF2-40B4-BE49-F238E27FC236}">
              <a16:creationId xmlns:a16="http://schemas.microsoft.com/office/drawing/2014/main" id="{9F6E0C06-23AD-4D3F-BB36-D77FA409D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00050" y="11334750"/>
          <a:ext cx="720000" cy="372414"/>
        </a:xfrm>
        <a:prstGeom prst="rect">
          <a:avLst/>
        </a:prstGeom>
      </xdr:spPr>
    </xdr:pic>
    <xdr:clientData/>
  </xdr:oneCellAnchor>
  <xdr:oneCellAnchor>
    <xdr:from>
      <xdr:col>1</xdr:col>
      <xdr:colOff>180975</xdr:colOff>
      <xdr:row>285</xdr:row>
      <xdr:rowOff>161925</xdr:rowOff>
    </xdr:from>
    <xdr:ext cx="720000" cy="406452"/>
    <xdr:pic>
      <xdr:nvPicPr>
        <xdr:cNvPr id="192" name="Resim 191">
          <a:extLst>
            <a:ext uri="{FF2B5EF4-FFF2-40B4-BE49-F238E27FC236}">
              <a16:creationId xmlns:a16="http://schemas.microsoft.com/office/drawing/2014/main" id="{A885B380-FC4B-45FB-B8A2-5011167AF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0" y="11772900"/>
          <a:ext cx="720000" cy="406452"/>
        </a:xfrm>
        <a:prstGeom prst="rect">
          <a:avLst/>
        </a:prstGeom>
      </xdr:spPr>
    </xdr:pic>
    <xdr:clientData/>
  </xdr:oneCellAnchor>
  <xdr:twoCellAnchor>
    <xdr:from>
      <xdr:col>7</xdr:col>
      <xdr:colOff>114300</xdr:colOff>
      <xdr:row>281</xdr:row>
      <xdr:rowOff>161926</xdr:rowOff>
    </xdr:from>
    <xdr:to>
      <xdr:col>7</xdr:col>
      <xdr:colOff>304800</xdr:colOff>
      <xdr:row>287</xdr:row>
      <xdr:rowOff>9526</xdr:rowOff>
    </xdr:to>
    <xdr:sp macro="" textlink="">
      <xdr:nvSpPr>
        <xdr:cNvPr id="193" name="Sağ Ayraç 192">
          <a:extLst>
            <a:ext uri="{FF2B5EF4-FFF2-40B4-BE49-F238E27FC236}">
              <a16:creationId xmlns:a16="http://schemas.microsoft.com/office/drawing/2014/main" id="{19ED36E5-0BB1-4959-B2E2-36F794262107}"/>
            </a:ext>
          </a:extLst>
        </xdr:cNvPr>
        <xdr:cNvSpPr/>
      </xdr:nvSpPr>
      <xdr:spPr>
        <a:xfrm>
          <a:off x="1895475" y="10896601"/>
          <a:ext cx="190500" cy="11620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oneCellAnchor>
    <xdr:from>
      <xdr:col>2</xdr:col>
      <xdr:colOff>28575</xdr:colOff>
      <xdr:row>292</xdr:row>
      <xdr:rowOff>171450</xdr:rowOff>
    </xdr:from>
    <xdr:ext cx="720000" cy="352088"/>
    <xdr:pic>
      <xdr:nvPicPr>
        <xdr:cNvPr id="194" name="Resim 193">
          <a:extLst>
            <a:ext uri="{FF2B5EF4-FFF2-40B4-BE49-F238E27FC236}">
              <a16:creationId xmlns:a16="http://schemas.microsoft.com/office/drawing/2014/main" id="{F1127F44-1F3A-4D00-9E36-05D6B3A5D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8625" y="13315950"/>
          <a:ext cx="720000" cy="352088"/>
        </a:xfrm>
        <a:prstGeom prst="rect">
          <a:avLst/>
        </a:prstGeom>
      </xdr:spPr>
    </xdr:pic>
    <xdr:clientData/>
  </xdr:oneCellAnchor>
  <xdr:oneCellAnchor>
    <xdr:from>
      <xdr:col>2</xdr:col>
      <xdr:colOff>9525</xdr:colOff>
      <xdr:row>294</xdr:row>
      <xdr:rowOff>171450</xdr:rowOff>
    </xdr:from>
    <xdr:ext cx="720000" cy="332021"/>
    <xdr:pic>
      <xdr:nvPicPr>
        <xdr:cNvPr id="195" name="Resim 194">
          <a:extLst>
            <a:ext uri="{FF2B5EF4-FFF2-40B4-BE49-F238E27FC236}">
              <a16:creationId xmlns:a16="http://schemas.microsoft.com/office/drawing/2014/main" id="{DA01BEE9-BE9A-4EED-8950-D358D2D8B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9575" y="13754100"/>
          <a:ext cx="720000" cy="332021"/>
        </a:xfrm>
        <a:prstGeom prst="rect">
          <a:avLst/>
        </a:prstGeom>
      </xdr:spPr>
    </xdr:pic>
    <xdr:clientData/>
  </xdr:oneCellAnchor>
  <xdr:oneCellAnchor>
    <xdr:from>
      <xdr:col>2</xdr:col>
      <xdr:colOff>9525</xdr:colOff>
      <xdr:row>296</xdr:row>
      <xdr:rowOff>180976</xdr:rowOff>
    </xdr:from>
    <xdr:ext cx="720000" cy="370909"/>
    <xdr:pic>
      <xdr:nvPicPr>
        <xdr:cNvPr id="196" name="Resim 195">
          <a:extLst>
            <a:ext uri="{FF2B5EF4-FFF2-40B4-BE49-F238E27FC236}">
              <a16:creationId xmlns:a16="http://schemas.microsoft.com/office/drawing/2014/main" id="{E83057AD-EE08-434F-918E-ADBEE2A2C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09575" y="14201776"/>
          <a:ext cx="720000" cy="370909"/>
        </a:xfrm>
        <a:prstGeom prst="rect">
          <a:avLst/>
        </a:prstGeom>
      </xdr:spPr>
    </xdr:pic>
    <xdr:clientData/>
  </xdr:oneCellAnchor>
  <xdr:twoCellAnchor>
    <xdr:from>
      <xdr:col>7</xdr:col>
      <xdr:colOff>114300</xdr:colOff>
      <xdr:row>292</xdr:row>
      <xdr:rowOff>180976</xdr:rowOff>
    </xdr:from>
    <xdr:to>
      <xdr:col>7</xdr:col>
      <xdr:colOff>304800</xdr:colOff>
      <xdr:row>298</xdr:row>
      <xdr:rowOff>28576</xdr:rowOff>
    </xdr:to>
    <xdr:sp macro="" textlink="">
      <xdr:nvSpPr>
        <xdr:cNvPr id="197" name="Sağ Ayraç 196">
          <a:extLst>
            <a:ext uri="{FF2B5EF4-FFF2-40B4-BE49-F238E27FC236}">
              <a16:creationId xmlns:a16="http://schemas.microsoft.com/office/drawing/2014/main" id="{4AFAE346-0511-451E-A881-CB893B5078ED}"/>
            </a:ext>
          </a:extLst>
        </xdr:cNvPr>
        <xdr:cNvSpPr/>
      </xdr:nvSpPr>
      <xdr:spPr>
        <a:xfrm>
          <a:off x="1895475" y="13325476"/>
          <a:ext cx="190500" cy="11620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oneCellAnchor>
    <xdr:from>
      <xdr:col>3</xdr:col>
      <xdr:colOff>152401</xdr:colOff>
      <xdr:row>290</xdr:row>
      <xdr:rowOff>76200</xdr:rowOff>
    </xdr:from>
    <xdr:ext cx="3326845" cy="432000"/>
    <xdr:pic>
      <xdr:nvPicPr>
        <xdr:cNvPr id="198" name="Resim 197">
          <a:extLst>
            <a:ext uri="{FF2B5EF4-FFF2-40B4-BE49-F238E27FC236}">
              <a16:creationId xmlns:a16="http://schemas.microsoft.com/office/drawing/2014/main" id="{5C0B7C13-AEA4-4739-9F1C-B71CDCBB8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52476" y="12782550"/>
          <a:ext cx="3326845" cy="432000"/>
        </a:xfrm>
        <a:prstGeom prst="rect">
          <a:avLst/>
        </a:prstGeom>
      </xdr:spPr>
    </xdr:pic>
    <xdr:clientData/>
  </xdr:oneCellAnchor>
  <xdr:twoCellAnchor editAs="oneCell">
    <xdr:from>
      <xdr:col>5</xdr:col>
      <xdr:colOff>9526</xdr:colOff>
      <xdr:row>219</xdr:row>
      <xdr:rowOff>19051</xdr:rowOff>
    </xdr:from>
    <xdr:to>
      <xdr:col>20</xdr:col>
      <xdr:colOff>128636</xdr:colOff>
      <xdr:row>221</xdr:row>
      <xdr:rowOff>12901</xdr:rowOff>
    </xdr:to>
    <xdr:pic>
      <xdr:nvPicPr>
        <xdr:cNvPr id="199" name="Resim 198">
          <a:extLst>
            <a:ext uri="{FF2B5EF4-FFF2-40B4-BE49-F238E27FC236}">
              <a16:creationId xmlns:a16="http://schemas.microsoft.com/office/drawing/2014/main" id="{7C452FC1-2389-410A-ABC8-08373AA1A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181101" y="47996476"/>
          <a:ext cx="3624310" cy="432000"/>
        </a:xfrm>
        <a:prstGeom prst="rect">
          <a:avLst/>
        </a:prstGeom>
      </xdr:spPr>
    </xdr:pic>
    <xdr:clientData/>
  </xdr:twoCellAnchor>
  <xdr:twoCellAnchor>
    <xdr:from>
      <xdr:col>7</xdr:col>
      <xdr:colOff>19051</xdr:colOff>
      <xdr:row>220</xdr:row>
      <xdr:rowOff>209550</xdr:rowOff>
    </xdr:from>
    <xdr:to>
      <xdr:col>7</xdr:col>
      <xdr:colOff>304801</xdr:colOff>
      <xdr:row>228</xdr:row>
      <xdr:rowOff>85724</xdr:rowOff>
    </xdr:to>
    <xdr:sp macro="" textlink="">
      <xdr:nvSpPr>
        <xdr:cNvPr id="203" name="Sağ Ayraç 202">
          <a:extLst>
            <a:ext uri="{FF2B5EF4-FFF2-40B4-BE49-F238E27FC236}">
              <a16:creationId xmlns:a16="http://schemas.microsoft.com/office/drawing/2014/main" id="{D5AC3047-8EA4-4C86-9EC7-0A4AB396AAD1}"/>
            </a:ext>
          </a:extLst>
        </xdr:cNvPr>
        <xdr:cNvSpPr/>
      </xdr:nvSpPr>
      <xdr:spPr>
        <a:xfrm>
          <a:off x="1800226" y="48406050"/>
          <a:ext cx="285750" cy="1628774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 editAs="oneCell">
    <xdr:from>
      <xdr:col>1</xdr:col>
      <xdr:colOff>171450</xdr:colOff>
      <xdr:row>220</xdr:row>
      <xdr:rowOff>161925</xdr:rowOff>
    </xdr:from>
    <xdr:to>
      <xdr:col>4</xdr:col>
      <xdr:colOff>119925</xdr:colOff>
      <xdr:row>222</xdr:row>
      <xdr:rowOff>86523</xdr:rowOff>
    </xdr:to>
    <xdr:pic>
      <xdr:nvPicPr>
        <xdr:cNvPr id="205" name="Resim 204">
          <a:extLst>
            <a:ext uri="{FF2B5EF4-FFF2-40B4-BE49-F238E27FC236}">
              <a16:creationId xmlns:a16="http://schemas.microsoft.com/office/drawing/2014/main" id="{E60498A5-0FE7-427B-BD74-6039364D3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71475" y="48577500"/>
          <a:ext cx="720000" cy="362748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222</xdr:row>
      <xdr:rowOff>171450</xdr:rowOff>
    </xdr:from>
    <xdr:to>
      <xdr:col>4</xdr:col>
      <xdr:colOff>177075</xdr:colOff>
      <xdr:row>224</xdr:row>
      <xdr:rowOff>80887</xdr:rowOff>
    </xdr:to>
    <xdr:pic>
      <xdr:nvPicPr>
        <xdr:cNvPr id="206" name="Resim 205">
          <a:extLst>
            <a:ext uri="{FF2B5EF4-FFF2-40B4-BE49-F238E27FC236}">
              <a16:creationId xmlns:a16="http://schemas.microsoft.com/office/drawing/2014/main" id="{1EDD5392-7A87-4AB6-85D3-0C135E9F4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28625" y="49025175"/>
          <a:ext cx="720000" cy="347587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224</xdr:row>
      <xdr:rowOff>152400</xdr:rowOff>
    </xdr:from>
    <xdr:to>
      <xdr:col>4</xdr:col>
      <xdr:colOff>129450</xdr:colOff>
      <xdr:row>226</xdr:row>
      <xdr:rowOff>104250</xdr:rowOff>
    </xdr:to>
    <xdr:pic>
      <xdr:nvPicPr>
        <xdr:cNvPr id="207" name="Resim 206">
          <a:extLst>
            <a:ext uri="{FF2B5EF4-FFF2-40B4-BE49-F238E27FC236}">
              <a16:creationId xmlns:a16="http://schemas.microsoft.com/office/drawing/2014/main" id="{4489C97D-1959-49D7-95C8-A2E958ACC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81000" y="49444275"/>
          <a:ext cx="720000" cy="39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226</xdr:row>
      <xdr:rowOff>171451</xdr:rowOff>
    </xdr:from>
    <xdr:to>
      <xdr:col>4</xdr:col>
      <xdr:colOff>100875</xdr:colOff>
      <xdr:row>228</xdr:row>
      <xdr:rowOff>96666</xdr:rowOff>
    </xdr:to>
    <xdr:pic>
      <xdr:nvPicPr>
        <xdr:cNvPr id="208" name="Resim 207">
          <a:extLst>
            <a:ext uri="{FF2B5EF4-FFF2-40B4-BE49-F238E27FC236}">
              <a16:creationId xmlns:a16="http://schemas.microsoft.com/office/drawing/2014/main" id="{0B659854-13C5-4DCA-8DD3-231473486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52425" y="49682401"/>
          <a:ext cx="720000" cy="363365"/>
        </a:xfrm>
        <a:prstGeom prst="rect">
          <a:avLst/>
        </a:prstGeom>
      </xdr:spPr>
    </xdr:pic>
    <xdr:clientData/>
  </xdr:twoCellAnchor>
  <xdr:oneCellAnchor>
    <xdr:from>
      <xdr:col>3</xdr:col>
      <xdr:colOff>276226</xdr:colOff>
      <xdr:row>302</xdr:row>
      <xdr:rowOff>85726</xdr:rowOff>
    </xdr:from>
    <xdr:ext cx="3624310" cy="432000"/>
    <xdr:pic>
      <xdr:nvPicPr>
        <xdr:cNvPr id="211" name="Resim 210">
          <a:extLst>
            <a:ext uri="{FF2B5EF4-FFF2-40B4-BE49-F238E27FC236}">
              <a16:creationId xmlns:a16="http://schemas.microsoft.com/office/drawing/2014/main" id="{1FDABC96-FBD3-4500-9FFD-BE3753A7A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76301" y="66246376"/>
          <a:ext cx="3624310" cy="432000"/>
        </a:xfrm>
        <a:prstGeom prst="rect">
          <a:avLst/>
        </a:prstGeom>
      </xdr:spPr>
    </xdr:pic>
    <xdr:clientData/>
  </xdr:oneCellAnchor>
  <xdr:twoCellAnchor>
    <xdr:from>
      <xdr:col>7</xdr:col>
      <xdr:colOff>19051</xdr:colOff>
      <xdr:row>304</xdr:row>
      <xdr:rowOff>209550</xdr:rowOff>
    </xdr:from>
    <xdr:to>
      <xdr:col>7</xdr:col>
      <xdr:colOff>304801</xdr:colOff>
      <xdr:row>312</xdr:row>
      <xdr:rowOff>85724</xdr:rowOff>
    </xdr:to>
    <xdr:sp macro="" textlink="">
      <xdr:nvSpPr>
        <xdr:cNvPr id="212" name="Sağ Ayraç 211">
          <a:extLst>
            <a:ext uri="{FF2B5EF4-FFF2-40B4-BE49-F238E27FC236}">
              <a16:creationId xmlns:a16="http://schemas.microsoft.com/office/drawing/2014/main" id="{66CCB2CC-6A45-4DC1-84FE-AEDCE76459C9}"/>
            </a:ext>
          </a:extLst>
        </xdr:cNvPr>
        <xdr:cNvSpPr/>
      </xdr:nvSpPr>
      <xdr:spPr>
        <a:xfrm>
          <a:off x="1800226" y="48406050"/>
          <a:ext cx="285750" cy="1628774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oneCellAnchor>
    <xdr:from>
      <xdr:col>1</xdr:col>
      <xdr:colOff>171450</xdr:colOff>
      <xdr:row>304</xdr:row>
      <xdr:rowOff>161925</xdr:rowOff>
    </xdr:from>
    <xdr:ext cx="720000" cy="362748"/>
    <xdr:pic>
      <xdr:nvPicPr>
        <xdr:cNvPr id="213" name="Resim 212">
          <a:extLst>
            <a:ext uri="{FF2B5EF4-FFF2-40B4-BE49-F238E27FC236}">
              <a16:creationId xmlns:a16="http://schemas.microsoft.com/office/drawing/2014/main" id="{EBFA20D8-A15B-4A02-9C65-C5F922E65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71475" y="48358425"/>
          <a:ext cx="720000" cy="362748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306</xdr:row>
      <xdr:rowOff>171450</xdr:rowOff>
    </xdr:from>
    <xdr:ext cx="720000" cy="347587"/>
    <xdr:pic>
      <xdr:nvPicPr>
        <xdr:cNvPr id="214" name="Resim 213">
          <a:extLst>
            <a:ext uri="{FF2B5EF4-FFF2-40B4-BE49-F238E27FC236}">
              <a16:creationId xmlns:a16="http://schemas.microsoft.com/office/drawing/2014/main" id="{941FCED6-64F8-4DDC-B291-4857214AC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28625" y="48806100"/>
          <a:ext cx="720000" cy="347587"/>
        </a:xfrm>
        <a:prstGeom prst="rect">
          <a:avLst/>
        </a:prstGeom>
      </xdr:spPr>
    </xdr:pic>
    <xdr:clientData/>
  </xdr:oneCellAnchor>
  <xdr:oneCellAnchor>
    <xdr:from>
      <xdr:col>1</xdr:col>
      <xdr:colOff>180975</xdr:colOff>
      <xdr:row>308</xdr:row>
      <xdr:rowOff>152400</xdr:rowOff>
    </xdr:from>
    <xdr:ext cx="720000" cy="390000"/>
    <xdr:pic>
      <xdr:nvPicPr>
        <xdr:cNvPr id="215" name="Resim 214">
          <a:extLst>
            <a:ext uri="{FF2B5EF4-FFF2-40B4-BE49-F238E27FC236}">
              <a16:creationId xmlns:a16="http://schemas.microsoft.com/office/drawing/2014/main" id="{E8281D24-0453-43D8-B549-22D8F1A9A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81000" y="49225200"/>
          <a:ext cx="720000" cy="390000"/>
        </a:xfrm>
        <a:prstGeom prst="rect">
          <a:avLst/>
        </a:prstGeom>
      </xdr:spPr>
    </xdr:pic>
    <xdr:clientData/>
  </xdr:oneCellAnchor>
  <xdr:oneCellAnchor>
    <xdr:from>
      <xdr:col>1</xdr:col>
      <xdr:colOff>152400</xdr:colOff>
      <xdr:row>310</xdr:row>
      <xdr:rowOff>171451</xdr:rowOff>
    </xdr:from>
    <xdr:ext cx="720000" cy="363365"/>
    <xdr:pic>
      <xdr:nvPicPr>
        <xdr:cNvPr id="216" name="Resim 215">
          <a:extLst>
            <a:ext uri="{FF2B5EF4-FFF2-40B4-BE49-F238E27FC236}">
              <a16:creationId xmlns:a16="http://schemas.microsoft.com/office/drawing/2014/main" id="{AF6666D1-F5E4-46B1-AA81-768AB9FBD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52425" y="49682401"/>
          <a:ext cx="720000" cy="363365"/>
        </a:xfrm>
        <a:prstGeom prst="rect">
          <a:avLst/>
        </a:prstGeom>
      </xdr:spPr>
    </xdr:pic>
    <xdr:clientData/>
  </xdr:oneCellAnchor>
  <xdr:twoCellAnchor editAs="oneCell">
    <xdr:from>
      <xdr:col>32</xdr:col>
      <xdr:colOff>74422</xdr:colOff>
      <xdr:row>255</xdr:row>
      <xdr:rowOff>0</xdr:rowOff>
    </xdr:from>
    <xdr:to>
      <xdr:col>42</xdr:col>
      <xdr:colOff>114929</xdr:colOff>
      <xdr:row>272</xdr:row>
      <xdr:rowOff>48395</xdr:rowOff>
    </xdr:to>
    <xdr:pic>
      <xdr:nvPicPr>
        <xdr:cNvPr id="217" name="Resim 216">
          <a:extLst>
            <a:ext uri="{FF2B5EF4-FFF2-40B4-BE49-F238E27FC236}">
              <a16:creationId xmlns:a16="http://schemas.microsoft.com/office/drawing/2014/main" id="{F5CD5CED-86E1-478E-954B-CCCA00E97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542022" y="55864125"/>
          <a:ext cx="3088507" cy="3772670"/>
        </a:xfrm>
        <a:prstGeom prst="rect">
          <a:avLst/>
        </a:prstGeom>
      </xdr:spPr>
    </xdr:pic>
    <xdr:clientData/>
  </xdr:twoCellAnchor>
  <xdr:oneCellAnchor>
    <xdr:from>
      <xdr:col>3</xdr:col>
      <xdr:colOff>179644</xdr:colOff>
      <xdr:row>371</xdr:row>
      <xdr:rowOff>9526</xdr:rowOff>
    </xdr:from>
    <xdr:ext cx="3114722" cy="432000"/>
    <xdr:pic>
      <xdr:nvPicPr>
        <xdr:cNvPr id="218" name="Resim 217">
          <a:extLst>
            <a:ext uri="{FF2B5EF4-FFF2-40B4-BE49-F238E27FC236}">
              <a16:creationId xmlns:a16="http://schemas.microsoft.com/office/drawing/2014/main" id="{D181A683-4027-47F9-8FFD-9305B5A0E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9719" y="61131451"/>
          <a:ext cx="3114722" cy="432000"/>
        </a:xfrm>
        <a:prstGeom prst="rect">
          <a:avLst/>
        </a:prstGeom>
      </xdr:spPr>
    </xdr:pic>
    <xdr:clientData/>
  </xdr:oneCellAnchor>
  <xdr:oneCellAnchor>
    <xdr:from>
      <xdr:col>2</xdr:col>
      <xdr:colOff>19051</xdr:colOff>
      <xdr:row>373</xdr:row>
      <xdr:rowOff>152400</xdr:rowOff>
    </xdr:from>
    <xdr:ext cx="720000" cy="366243"/>
    <xdr:pic>
      <xdr:nvPicPr>
        <xdr:cNvPr id="219" name="Resim 218">
          <a:extLst>
            <a:ext uri="{FF2B5EF4-FFF2-40B4-BE49-F238E27FC236}">
              <a16:creationId xmlns:a16="http://schemas.microsoft.com/office/drawing/2014/main" id="{04B2D804-1EEF-4BCA-B452-9DDEC2605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9101" y="61712475"/>
          <a:ext cx="720000" cy="36624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375</xdr:row>
      <xdr:rowOff>161925</xdr:rowOff>
    </xdr:from>
    <xdr:ext cx="720000" cy="372414"/>
    <xdr:pic>
      <xdr:nvPicPr>
        <xdr:cNvPr id="220" name="Resim 219">
          <a:extLst>
            <a:ext uri="{FF2B5EF4-FFF2-40B4-BE49-F238E27FC236}">
              <a16:creationId xmlns:a16="http://schemas.microsoft.com/office/drawing/2014/main" id="{C3FD07BE-5956-456F-A5A9-F3606CD2F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00050" y="62160150"/>
          <a:ext cx="720000" cy="372414"/>
        </a:xfrm>
        <a:prstGeom prst="rect">
          <a:avLst/>
        </a:prstGeom>
      </xdr:spPr>
    </xdr:pic>
    <xdr:clientData/>
  </xdr:oneCellAnchor>
  <xdr:oneCellAnchor>
    <xdr:from>
      <xdr:col>1</xdr:col>
      <xdr:colOff>180975</xdr:colOff>
      <xdr:row>377</xdr:row>
      <xdr:rowOff>161925</xdr:rowOff>
    </xdr:from>
    <xdr:ext cx="720000" cy="406452"/>
    <xdr:pic>
      <xdr:nvPicPr>
        <xdr:cNvPr id="221" name="Resim 220">
          <a:extLst>
            <a:ext uri="{FF2B5EF4-FFF2-40B4-BE49-F238E27FC236}">
              <a16:creationId xmlns:a16="http://schemas.microsoft.com/office/drawing/2014/main" id="{D3E7BC72-BE5F-4339-A0EF-62E865A4B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0" y="62598300"/>
          <a:ext cx="720000" cy="406452"/>
        </a:xfrm>
        <a:prstGeom prst="rect">
          <a:avLst/>
        </a:prstGeom>
      </xdr:spPr>
    </xdr:pic>
    <xdr:clientData/>
  </xdr:oneCellAnchor>
  <xdr:twoCellAnchor>
    <xdr:from>
      <xdr:col>7</xdr:col>
      <xdr:colOff>114300</xdr:colOff>
      <xdr:row>373</xdr:row>
      <xdr:rowOff>161926</xdr:rowOff>
    </xdr:from>
    <xdr:to>
      <xdr:col>7</xdr:col>
      <xdr:colOff>304800</xdr:colOff>
      <xdr:row>379</xdr:row>
      <xdr:rowOff>9526</xdr:rowOff>
    </xdr:to>
    <xdr:sp macro="" textlink="">
      <xdr:nvSpPr>
        <xdr:cNvPr id="222" name="Sağ Ayraç 221">
          <a:extLst>
            <a:ext uri="{FF2B5EF4-FFF2-40B4-BE49-F238E27FC236}">
              <a16:creationId xmlns:a16="http://schemas.microsoft.com/office/drawing/2014/main" id="{9BF03AE9-D360-4BDB-A286-075B43A4BBCA}"/>
            </a:ext>
          </a:extLst>
        </xdr:cNvPr>
        <xdr:cNvSpPr/>
      </xdr:nvSpPr>
      <xdr:spPr>
        <a:xfrm>
          <a:off x="1895475" y="61722001"/>
          <a:ext cx="190500" cy="11620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oneCellAnchor>
    <xdr:from>
      <xdr:col>2</xdr:col>
      <xdr:colOff>28575</xdr:colOff>
      <xdr:row>383</xdr:row>
      <xdr:rowOff>171450</xdr:rowOff>
    </xdr:from>
    <xdr:ext cx="720000" cy="352088"/>
    <xdr:pic>
      <xdr:nvPicPr>
        <xdr:cNvPr id="223" name="Resim 222">
          <a:extLst>
            <a:ext uri="{FF2B5EF4-FFF2-40B4-BE49-F238E27FC236}">
              <a16:creationId xmlns:a16="http://schemas.microsoft.com/office/drawing/2014/main" id="{B3FDB638-482D-4B6C-A93B-F4BEEF222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8625" y="64141350"/>
          <a:ext cx="720000" cy="352088"/>
        </a:xfrm>
        <a:prstGeom prst="rect">
          <a:avLst/>
        </a:prstGeom>
      </xdr:spPr>
    </xdr:pic>
    <xdr:clientData/>
  </xdr:oneCellAnchor>
  <xdr:oneCellAnchor>
    <xdr:from>
      <xdr:col>2</xdr:col>
      <xdr:colOff>9525</xdr:colOff>
      <xdr:row>385</xdr:row>
      <xdr:rowOff>171450</xdr:rowOff>
    </xdr:from>
    <xdr:ext cx="720000" cy="332021"/>
    <xdr:pic>
      <xdr:nvPicPr>
        <xdr:cNvPr id="224" name="Resim 223">
          <a:extLst>
            <a:ext uri="{FF2B5EF4-FFF2-40B4-BE49-F238E27FC236}">
              <a16:creationId xmlns:a16="http://schemas.microsoft.com/office/drawing/2014/main" id="{EBD96494-10A9-43D9-88AC-F745507F8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9575" y="64579500"/>
          <a:ext cx="720000" cy="332021"/>
        </a:xfrm>
        <a:prstGeom prst="rect">
          <a:avLst/>
        </a:prstGeom>
      </xdr:spPr>
    </xdr:pic>
    <xdr:clientData/>
  </xdr:oneCellAnchor>
  <xdr:oneCellAnchor>
    <xdr:from>
      <xdr:col>2</xdr:col>
      <xdr:colOff>9525</xdr:colOff>
      <xdr:row>387</xdr:row>
      <xdr:rowOff>180976</xdr:rowOff>
    </xdr:from>
    <xdr:ext cx="720000" cy="370909"/>
    <xdr:pic>
      <xdr:nvPicPr>
        <xdr:cNvPr id="225" name="Resim 224">
          <a:extLst>
            <a:ext uri="{FF2B5EF4-FFF2-40B4-BE49-F238E27FC236}">
              <a16:creationId xmlns:a16="http://schemas.microsoft.com/office/drawing/2014/main" id="{AE775273-715A-4795-988B-3794B27EE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09575" y="65027176"/>
          <a:ext cx="720000" cy="370909"/>
        </a:xfrm>
        <a:prstGeom prst="rect">
          <a:avLst/>
        </a:prstGeom>
      </xdr:spPr>
    </xdr:pic>
    <xdr:clientData/>
  </xdr:oneCellAnchor>
  <xdr:twoCellAnchor>
    <xdr:from>
      <xdr:col>7</xdr:col>
      <xdr:colOff>114300</xdr:colOff>
      <xdr:row>383</xdr:row>
      <xdr:rowOff>180976</xdr:rowOff>
    </xdr:from>
    <xdr:to>
      <xdr:col>7</xdr:col>
      <xdr:colOff>304800</xdr:colOff>
      <xdr:row>389</xdr:row>
      <xdr:rowOff>28576</xdr:rowOff>
    </xdr:to>
    <xdr:sp macro="" textlink="">
      <xdr:nvSpPr>
        <xdr:cNvPr id="226" name="Sağ Ayraç 225">
          <a:extLst>
            <a:ext uri="{FF2B5EF4-FFF2-40B4-BE49-F238E27FC236}">
              <a16:creationId xmlns:a16="http://schemas.microsoft.com/office/drawing/2014/main" id="{1178FB8D-006F-43FE-9EDD-E14495CAFD98}"/>
            </a:ext>
          </a:extLst>
        </xdr:cNvPr>
        <xdr:cNvSpPr/>
      </xdr:nvSpPr>
      <xdr:spPr>
        <a:xfrm>
          <a:off x="1895475" y="64150876"/>
          <a:ext cx="190500" cy="11620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oneCellAnchor>
    <xdr:from>
      <xdr:col>3</xdr:col>
      <xdr:colOff>152401</xdr:colOff>
      <xdr:row>381</xdr:row>
      <xdr:rowOff>76200</xdr:rowOff>
    </xdr:from>
    <xdr:ext cx="3326845" cy="432000"/>
    <xdr:pic>
      <xdr:nvPicPr>
        <xdr:cNvPr id="227" name="Resim 226">
          <a:extLst>
            <a:ext uri="{FF2B5EF4-FFF2-40B4-BE49-F238E27FC236}">
              <a16:creationId xmlns:a16="http://schemas.microsoft.com/office/drawing/2014/main" id="{044F798E-EA09-4F61-BFF6-F7EEA1874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52476" y="63607950"/>
          <a:ext cx="3326845" cy="432000"/>
        </a:xfrm>
        <a:prstGeom prst="rect">
          <a:avLst/>
        </a:prstGeom>
      </xdr:spPr>
    </xdr:pic>
    <xdr:clientData/>
  </xdr:oneCellAnchor>
  <xdr:oneCellAnchor>
    <xdr:from>
      <xdr:col>3</xdr:col>
      <xdr:colOff>276226</xdr:colOff>
      <xdr:row>392</xdr:row>
      <xdr:rowOff>85726</xdr:rowOff>
    </xdr:from>
    <xdr:ext cx="3624310" cy="432000"/>
    <xdr:pic>
      <xdr:nvPicPr>
        <xdr:cNvPr id="228" name="Resim 227">
          <a:extLst>
            <a:ext uri="{FF2B5EF4-FFF2-40B4-BE49-F238E27FC236}">
              <a16:creationId xmlns:a16="http://schemas.microsoft.com/office/drawing/2014/main" id="{9ACBF24B-FF5A-4452-81FA-998CD4B6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76301" y="66246376"/>
          <a:ext cx="3624310" cy="432000"/>
        </a:xfrm>
        <a:prstGeom prst="rect">
          <a:avLst/>
        </a:prstGeom>
      </xdr:spPr>
    </xdr:pic>
    <xdr:clientData/>
  </xdr:oneCellAnchor>
  <xdr:twoCellAnchor>
    <xdr:from>
      <xdr:col>7</xdr:col>
      <xdr:colOff>19051</xdr:colOff>
      <xdr:row>394</xdr:row>
      <xdr:rowOff>209550</xdr:rowOff>
    </xdr:from>
    <xdr:to>
      <xdr:col>7</xdr:col>
      <xdr:colOff>304801</xdr:colOff>
      <xdr:row>402</xdr:row>
      <xdr:rowOff>85724</xdr:rowOff>
    </xdr:to>
    <xdr:sp macro="" textlink="">
      <xdr:nvSpPr>
        <xdr:cNvPr id="229" name="Sağ Ayraç 228">
          <a:extLst>
            <a:ext uri="{FF2B5EF4-FFF2-40B4-BE49-F238E27FC236}">
              <a16:creationId xmlns:a16="http://schemas.microsoft.com/office/drawing/2014/main" id="{B08B5790-F37A-4051-8061-F21D38CCE69C}"/>
            </a:ext>
          </a:extLst>
        </xdr:cNvPr>
        <xdr:cNvSpPr/>
      </xdr:nvSpPr>
      <xdr:spPr>
        <a:xfrm>
          <a:off x="1800226" y="66808350"/>
          <a:ext cx="285750" cy="1628774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oneCellAnchor>
    <xdr:from>
      <xdr:col>1</xdr:col>
      <xdr:colOff>171450</xdr:colOff>
      <xdr:row>394</xdr:row>
      <xdr:rowOff>161925</xdr:rowOff>
    </xdr:from>
    <xdr:ext cx="720000" cy="362748"/>
    <xdr:pic>
      <xdr:nvPicPr>
        <xdr:cNvPr id="230" name="Resim 229">
          <a:extLst>
            <a:ext uri="{FF2B5EF4-FFF2-40B4-BE49-F238E27FC236}">
              <a16:creationId xmlns:a16="http://schemas.microsoft.com/office/drawing/2014/main" id="{B67F1642-687E-44A2-8494-64A9E58FC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71475" y="66760725"/>
          <a:ext cx="720000" cy="362748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396</xdr:row>
      <xdr:rowOff>171450</xdr:rowOff>
    </xdr:from>
    <xdr:ext cx="720000" cy="347587"/>
    <xdr:pic>
      <xdr:nvPicPr>
        <xdr:cNvPr id="231" name="Resim 230">
          <a:extLst>
            <a:ext uri="{FF2B5EF4-FFF2-40B4-BE49-F238E27FC236}">
              <a16:creationId xmlns:a16="http://schemas.microsoft.com/office/drawing/2014/main" id="{0B15413D-F37C-4A9A-B88A-F79A6DA4C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28625" y="67208400"/>
          <a:ext cx="720000" cy="347587"/>
        </a:xfrm>
        <a:prstGeom prst="rect">
          <a:avLst/>
        </a:prstGeom>
      </xdr:spPr>
    </xdr:pic>
    <xdr:clientData/>
  </xdr:oneCellAnchor>
  <xdr:oneCellAnchor>
    <xdr:from>
      <xdr:col>1</xdr:col>
      <xdr:colOff>180975</xdr:colOff>
      <xdr:row>398</xdr:row>
      <xdr:rowOff>152400</xdr:rowOff>
    </xdr:from>
    <xdr:ext cx="720000" cy="390000"/>
    <xdr:pic>
      <xdr:nvPicPr>
        <xdr:cNvPr id="232" name="Resim 231">
          <a:extLst>
            <a:ext uri="{FF2B5EF4-FFF2-40B4-BE49-F238E27FC236}">
              <a16:creationId xmlns:a16="http://schemas.microsoft.com/office/drawing/2014/main" id="{DC91AD8D-1E92-43CD-9722-17DFFA55C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81000" y="67627500"/>
          <a:ext cx="720000" cy="390000"/>
        </a:xfrm>
        <a:prstGeom prst="rect">
          <a:avLst/>
        </a:prstGeom>
      </xdr:spPr>
    </xdr:pic>
    <xdr:clientData/>
  </xdr:oneCellAnchor>
  <xdr:oneCellAnchor>
    <xdr:from>
      <xdr:col>1</xdr:col>
      <xdr:colOff>152400</xdr:colOff>
      <xdr:row>400</xdr:row>
      <xdr:rowOff>171451</xdr:rowOff>
    </xdr:from>
    <xdr:ext cx="720000" cy="363365"/>
    <xdr:pic>
      <xdr:nvPicPr>
        <xdr:cNvPr id="233" name="Resim 232">
          <a:extLst>
            <a:ext uri="{FF2B5EF4-FFF2-40B4-BE49-F238E27FC236}">
              <a16:creationId xmlns:a16="http://schemas.microsoft.com/office/drawing/2014/main" id="{79C883CC-6F9B-43AA-8D7A-4812D22F6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52425" y="68084701"/>
          <a:ext cx="720000" cy="363365"/>
        </a:xfrm>
        <a:prstGeom prst="rect">
          <a:avLst/>
        </a:prstGeom>
      </xdr:spPr>
    </xdr:pic>
    <xdr:clientData/>
  </xdr:oneCellAnchor>
  <xdr:twoCellAnchor editAs="oneCell">
    <xdr:from>
      <xdr:col>8</xdr:col>
      <xdr:colOff>26580</xdr:colOff>
      <xdr:row>328</xdr:row>
      <xdr:rowOff>19050</xdr:rowOff>
    </xdr:from>
    <xdr:to>
      <xdr:col>25</xdr:col>
      <xdr:colOff>161924</xdr:colOff>
      <xdr:row>349</xdr:row>
      <xdr:rowOff>149639</xdr:rowOff>
    </xdr:to>
    <xdr:pic>
      <xdr:nvPicPr>
        <xdr:cNvPr id="234" name="Resim 233">
          <a:extLst>
            <a:ext uri="{FF2B5EF4-FFF2-40B4-BE49-F238E27FC236}">
              <a16:creationId xmlns:a16="http://schemas.microsoft.com/office/drawing/2014/main" id="{66C443BC-F4D3-4C3A-B45F-77A09B8F7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122080" y="71875650"/>
          <a:ext cx="3897719" cy="4731164"/>
        </a:xfrm>
        <a:prstGeom prst="rect">
          <a:avLst/>
        </a:prstGeom>
      </xdr:spPr>
    </xdr:pic>
    <xdr:clientData/>
  </xdr:twoCellAnchor>
  <xdr:twoCellAnchor editAs="oneCell">
    <xdr:from>
      <xdr:col>28</xdr:col>
      <xdr:colOff>114300</xdr:colOff>
      <xdr:row>343</xdr:row>
      <xdr:rowOff>171450</xdr:rowOff>
    </xdr:from>
    <xdr:to>
      <xdr:col>45</xdr:col>
      <xdr:colOff>257889</xdr:colOff>
      <xdr:row>369</xdr:row>
      <xdr:rowOff>172245</xdr:rowOff>
    </xdr:to>
    <xdr:pic>
      <xdr:nvPicPr>
        <xdr:cNvPr id="235" name="Resim 234">
          <a:extLst>
            <a:ext uri="{FF2B5EF4-FFF2-40B4-BE49-F238E27FC236}">
              <a16:creationId xmlns:a16="http://schemas.microsoft.com/office/drawing/2014/main" id="{84117455-B8FD-43A4-81DB-76747D656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572250" y="75314175"/>
          <a:ext cx="5115639" cy="5696745"/>
        </a:xfrm>
        <a:prstGeom prst="rect">
          <a:avLst/>
        </a:prstGeom>
      </xdr:spPr>
    </xdr:pic>
    <xdr:clientData/>
  </xdr:twoCellAnchor>
  <xdr:twoCellAnchor editAs="oneCell">
    <xdr:from>
      <xdr:col>45</xdr:col>
      <xdr:colOff>295275</xdr:colOff>
      <xdr:row>343</xdr:row>
      <xdr:rowOff>180975</xdr:rowOff>
    </xdr:from>
    <xdr:to>
      <xdr:col>81</xdr:col>
      <xdr:colOff>124845</xdr:colOff>
      <xdr:row>369</xdr:row>
      <xdr:rowOff>143665</xdr:rowOff>
    </xdr:to>
    <xdr:pic>
      <xdr:nvPicPr>
        <xdr:cNvPr id="236" name="Resim 235">
          <a:extLst>
            <a:ext uri="{FF2B5EF4-FFF2-40B4-BE49-F238E27FC236}">
              <a16:creationId xmlns:a16="http://schemas.microsoft.com/office/drawing/2014/main" id="{5BB1CADD-F645-429F-B71B-DAEB1EE6F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725275" y="75323700"/>
          <a:ext cx="7306695" cy="5658640"/>
        </a:xfrm>
        <a:prstGeom prst="rect">
          <a:avLst/>
        </a:prstGeom>
      </xdr:spPr>
    </xdr:pic>
    <xdr:clientData/>
  </xdr:twoCellAnchor>
  <xdr:twoCellAnchor editAs="oneCell">
    <xdr:from>
      <xdr:col>81</xdr:col>
      <xdr:colOff>190500</xdr:colOff>
      <xdr:row>331</xdr:row>
      <xdr:rowOff>171450</xdr:rowOff>
    </xdr:from>
    <xdr:to>
      <xdr:col>111</xdr:col>
      <xdr:colOff>172285</xdr:colOff>
      <xdr:row>369</xdr:row>
      <xdr:rowOff>144033</xdr:rowOff>
    </xdr:to>
    <xdr:pic>
      <xdr:nvPicPr>
        <xdr:cNvPr id="237" name="Resim 236">
          <a:extLst>
            <a:ext uri="{FF2B5EF4-FFF2-40B4-BE49-F238E27FC236}">
              <a16:creationId xmlns:a16="http://schemas.microsoft.com/office/drawing/2014/main" id="{E8AB5059-740D-4FCA-9925-400CF4F1C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097625" y="72685275"/>
          <a:ext cx="5982535" cy="8297433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371</xdr:row>
      <xdr:rowOff>0</xdr:rowOff>
    </xdr:from>
    <xdr:to>
      <xdr:col>50</xdr:col>
      <xdr:colOff>105619</xdr:colOff>
      <xdr:row>391</xdr:row>
      <xdr:rowOff>124454</xdr:rowOff>
    </xdr:to>
    <xdr:pic>
      <xdr:nvPicPr>
        <xdr:cNvPr id="238" name="Resim 237">
          <a:extLst>
            <a:ext uri="{FF2B5EF4-FFF2-40B4-BE49-F238E27FC236}">
              <a16:creationId xmlns:a16="http://schemas.microsoft.com/office/drawing/2014/main" id="{55AA12D3-DA9A-4D81-AA08-41358E046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657975" y="81276825"/>
          <a:ext cx="6049219" cy="4505954"/>
        </a:xfrm>
        <a:prstGeom prst="rect">
          <a:avLst/>
        </a:prstGeom>
      </xdr:spPr>
    </xdr:pic>
    <xdr:clientData/>
  </xdr:twoCellAnchor>
  <xdr:twoCellAnchor editAs="oneCell">
    <xdr:from>
      <xdr:col>50</xdr:col>
      <xdr:colOff>180975</xdr:colOff>
      <xdr:row>370</xdr:row>
      <xdr:rowOff>209550</xdr:rowOff>
    </xdr:from>
    <xdr:to>
      <xdr:col>82</xdr:col>
      <xdr:colOff>10409</xdr:colOff>
      <xdr:row>402</xdr:row>
      <xdr:rowOff>10476</xdr:rowOff>
    </xdr:to>
    <xdr:pic>
      <xdr:nvPicPr>
        <xdr:cNvPr id="239" name="Resim 238">
          <a:extLst>
            <a:ext uri="{FF2B5EF4-FFF2-40B4-BE49-F238E27FC236}">
              <a16:creationId xmlns:a16="http://schemas.microsoft.com/office/drawing/2014/main" id="{31FB312E-288C-49BB-A13B-0A76CF409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2782550" y="81267300"/>
          <a:ext cx="6335009" cy="6811326"/>
        </a:xfrm>
        <a:prstGeom prst="rect">
          <a:avLst/>
        </a:prstGeom>
      </xdr:spPr>
    </xdr:pic>
    <xdr:clientData/>
  </xdr:twoCellAnchor>
  <xdr:twoCellAnchor editAs="oneCell">
    <xdr:from>
      <xdr:col>29</xdr:col>
      <xdr:colOff>15798</xdr:colOff>
      <xdr:row>392</xdr:row>
      <xdr:rowOff>19050</xdr:rowOff>
    </xdr:from>
    <xdr:to>
      <xdr:col>47</xdr:col>
      <xdr:colOff>133350</xdr:colOff>
      <xdr:row>412</xdr:row>
      <xdr:rowOff>7525</xdr:rowOff>
    </xdr:to>
    <xdr:pic>
      <xdr:nvPicPr>
        <xdr:cNvPr id="240" name="Resim 239">
          <a:extLst>
            <a:ext uri="{FF2B5EF4-FFF2-40B4-BE49-F238E27FC236}">
              <a16:creationId xmlns:a16="http://schemas.microsoft.com/office/drawing/2014/main" id="{A9D8B926-A9AC-49A1-967F-DFF0A7E2B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673773" y="85896450"/>
          <a:ext cx="5461077" cy="4369975"/>
        </a:xfrm>
        <a:prstGeom prst="rect">
          <a:avLst/>
        </a:prstGeom>
      </xdr:spPr>
    </xdr:pic>
    <xdr:clientData/>
  </xdr:twoCellAnchor>
  <xdr:oneCellAnchor>
    <xdr:from>
      <xdr:col>8</xdr:col>
      <xdr:colOff>26580</xdr:colOff>
      <xdr:row>422</xdr:row>
      <xdr:rowOff>19050</xdr:rowOff>
    </xdr:from>
    <xdr:ext cx="3897719" cy="4731164"/>
    <xdr:pic>
      <xdr:nvPicPr>
        <xdr:cNvPr id="241" name="Resim 240">
          <a:extLst>
            <a:ext uri="{FF2B5EF4-FFF2-40B4-BE49-F238E27FC236}">
              <a16:creationId xmlns:a16="http://schemas.microsoft.com/office/drawing/2014/main" id="{510C32B7-6996-4296-BA96-FB9B97E12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122080" y="71875650"/>
          <a:ext cx="3897719" cy="473116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17</xdr:row>
      <xdr:rowOff>133350</xdr:rowOff>
    </xdr:from>
    <xdr:to>
      <xdr:col>4</xdr:col>
      <xdr:colOff>181064</xdr:colOff>
      <xdr:row>43</xdr:row>
      <xdr:rowOff>142875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1F3B9245-44DF-4803-B192-24AA3C764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1200" y="3371850"/>
          <a:ext cx="638264" cy="4962525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12</xdr:row>
      <xdr:rowOff>133350</xdr:rowOff>
    </xdr:from>
    <xdr:to>
      <xdr:col>7</xdr:col>
      <xdr:colOff>285859</xdr:colOff>
      <xdr:row>43</xdr:row>
      <xdr:rowOff>142875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BD97FC0D-8ED8-4A26-BD9F-AEB0DADE8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1500" y="2419350"/>
          <a:ext cx="781159" cy="5915025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7</xdr:row>
      <xdr:rowOff>142876</xdr:rowOff>
    </xdr:from>
    <xdr:to>
      <xdr:col>10</xdr:col>
      <xdr:colOff>190581</xdr:colOff>
      <xdr:row>43</xdr:row>
      <xdr:rowOff>161926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3087E241-459B-4F65-9F6D-BFA435754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34275" y="1476376"/>
          <a:ext cx="581106" cy="6877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133350</xdr:colOff>
      <xdr:row>3</xdr:row>
      <xdr:rowOff>57149</xdr:rowOff>
    </xdr:from>
    <xdr:to>
      <xdr:col>13</xdr:col>
      <xdr:colOff>76277</xdr:colOff>
      <xdr:row>43</xdr:row>
      <xdr:rowOff>180974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788D29E4-548E-4B02-98E0-857100073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48550" y="628649"/>
          <a:ext cx="552527" cy="7743825"/>
        </a:xfrm>
        <a:prstGeom prst="rect">
          <a:avLst/>
        </a:prstGeom>
      </xdr:spPr>
    </xdr:pic>
    <xdr:clientData/>
  </xdr:twoCellAnchor>
  <xdr:twoCellAnchor editAs="oneCell">
    <xdr:from>
      <xdr:col>16</xdr:col>
      <xdr:colOff>171450</xdr:colOff>
      <xdr:row>2</xdr:row>
      <xdr:rowOff>47625</xdr:rowOff>
    </xdr:from>
    <xdr:to>
      <xdr:col>27</xdr:col>
      <xdr:colOff>58070</xdr:colOff>
      <xdr:row>38</xdr:row>
      <xdr:rowOff>172424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1B81CB6A-FF05-430C-B47D-7E6FD9CE8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25050" y="428625"/>
          <a:ext cx="6592220" cy="6982799"/>
        </a:xfrm>
        <a:prstGeom prst="rect">
          <a:avLst/>
        </a:prstGeom>
      </xdr:spPr>
    </xdr:pic>
    <xdr:clientData/>
  </xdr:twoCellAnchor>
  <xdr:twoCellAnchor editAs="oneCell">
    <xdr:from>
      <xdr:col>16</xdr:col>
      <xdr:colOff>200025</xdr:colOff>
      <xdr:row>39</xdr:row>
      <xdr:rowOff>28575</xdr:rowOff>
    </xdr:from>
    <xdr:to>
      <xdr:col>25</xdr:col>
      <xdr:colOff>277001</xdr:colOff>
      <xdr:row>59</xdr:row>
      <xdr:rowOff>105492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15B05C4A-A290-4D14-A740-E2B261CE3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53625" y="7458075"/>
          <a:ext cx="5563376" cy="5134692"/>
        </a:xfrm>
        <a:prstGeom prst="rect">
          <a:avLst/>
        </a:prstGeom>
      </xdr:spPr>
    </xdr:pic>
    <xdr:clientData/>
  </xdr:twoCellAnchor>
  <xdr:twoCellAnchor editAs="oneCell">
    <xdr:from>
      <xdr:col>25</xdr:col>
      <xdr:colOff>292100</xdr:colOff>
      <xdr:row>47</xdr:row>
      <xdr:rowOff>50800</xdr:rowOff>
    </xdr:from>
    <xdr:to>
      <xdr:col>29</xdr:col>
      <xdr:colOff>443820</xdr:colOff>
      <xdr:row>50</xdr:row>
      <xdr:rowOff>422369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82412750-68EA-431D-B586-3BAFA3D9E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532100" y="9004300"/>
          <a:ext cx="2590120" cy="943069"/>
        </a:xfrm>
        <a:prstGeom prst="rect">
          <a:avLst/>
        </a:prstGeom>
      </xdr:spPr>
    </xdr:pic>
    <xdr:clientData/>
  </xdr:twoCellAnchor>
  <xdr:twoCellAnchor editAs="oneCell">
    <xdr:from>
      <xdr:col>34</xdr:col>
      <xdr:colOff>88900</xdr:colOff>
      <xdr:row>2</xdr:row>
      <xdr:rowOff>25400</xdr:rowOff>
    </xdr:from>
    <xdr:to>
      <xdr:col>44</xdr:col>
      <xdr:colOff>299330</xdr:colOff>
      <xdr:row>19</xdr:row>
      <xdr:rowOff>73484</xdr:rowOff>
    </xdr:to>
    <xdr:pic>
      <xdr:nvPicPr>
        <xdr:cNvPr id="11" name="Resim 10">
          <a:extLst>
            <a:ext uri="{FF2B5EF4-FFF2-40B4-BE49-F238E27FC236}">
              <a16:creationId xmlns:a16="http://schemas.microsoft.com/office/drawing/2014/main" id="{DD4598FB-850A-442D-8DB7-26B5E4220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815300" y="406400"/>
          <a:ext cx="6306430" cy="3286584"/>
        </a:xfrm>
        <a:prstGeom prst="rect">
          <a:avLst/>
        </a:prstGeom>
      </xdr:spPr>
    </xdr:pic>
    <xdr:clientData/>
  </xdr:twoCellAnchor>
  <xdr:twoCellAnchor editAs="oneCell">
    <xdr:from>
      <xdr:col>34</xdr:col>
      <xdr:colOff>152400</xdr:colOff>
      <xdr:row>19</xdr:row>
      <xdr:rowOff>139700</xdr:rowOff>
    </xdr:from>
    <xdr:to>
      <xdr:col>44</xdr:col>
      <xdr:colOff>210409</xdr:colOff>
      <xdr:row>55</xdr:row>
      <xdr:rowOff>296364</xdr:rowOff>
    </xdr:to>
    <xdr:pic>
      <xdr:nvPicPr>
        <xdr:cNvPr id="12" name="Resim 11">
          <a:extLst>
            <a:ext uri="{FF2B5EF4-FFF2-40B4-BE49-F238E27FC236}">
              <a16:creationId xmlns:a16="http://schemas.microsoft.com/office/drawing/2014/main" id="{3874C1E4-0D46-4938-8679-950509DBA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878800" y="3759200"/>
          <a:ext cx="6154009" cy="7802064"/>
        </a:xfrm>
        <a:prstGeom prst="rect">
          <a:avLst/>
        </a:prstGeom>
      </xdr:spPr>
    </xdr:pic>
    <xdr:clientData/>
  </xdr:twoCellAnchor>
  <xdr:twoCellAnchor editAs="oneCell">
    <xdr:from>
      <xdr:col>34</xdr:col>
      <xdr:colOff>177800</xdr:colOff>
      <xdr:row>56</xdr:row>
      <xdr:rowOff>50800</xdr:rowOff>
    </xdr:from>
    <xdr:to>
      <xdr:col>45</xdr:col>
      <xdr:colOff>266700</xdr:colOff>
      <xdr:row>85</xdr:row>
      <xdr:rowOff>117212</xdr:rowOff>
    </xdr:to>
    <xdr:pic>
      <xdr:nvPicPr>
        <xdr:cNvPr id="13" name="Resim 12">
          <a:extLst>
            <a:ext uri="{FF2B5EF4-FFF2-40B4-BE49-F238E27FC236}">
              <a16:creationId xmlns:a16="http://schemas.microsoft.com/office/drawing/2014/main" id="{8CCC26B5-3329-431C-AC80-7F2D32C31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904200" y="11620500"/>
          <a:ext cx="6794500" cy="8905612"/>
        </a:xfrm>
        <a:prstGeom prst="rect">
          <a:avLst/>
        </a:prstGeom>
      </xdr:spPr>
    </xdr:pic>
    <xdr:clientData/>
  </xdr:twoCellAnchor>
  <xdr:twoCellAnchor editAs="oneCell">
    <xdr:from>
      <xdr:col>15</xdr:col>
      <xdr:colOff>444500</xdr:colOff>
      <xdr:row>63</xdr:row>
      <xdr:rowOff>241300</xdr:rowOff>
    </xdr:from>
    <xdr:to>
      <xdr:col>26</xdr:col>
      <xdr:colOff>445436</xdr:colOff>
      <xdr:row>89</xdr:row>
      <xdr:rowOff>229706</xdr:rowOff>
    </xdr:to>
    <xdr:pic>
      <xdr:nvPicPr>
        <xdr:cNvPr id="14" name="Resim 13">
          <a:extLst>
            <a:ext uri="{FF2B5EF4-FFF2-40B4-BE49-F238E27FC236}">
              <a16:creationId xmlns:a16="http://schemas.microsoft.com/office/drawing/2014/main" id="{503A6551-355B-40DE-B80C-324C0A314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88500" y="13957300"/>
          <a:ext cx="6706536" cy="792590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27</xdr:col>
      <xdr:colOff>34688</xdr:colOff>
      <xdr:row>2</xdr:row>
      <xdr:rowOff>101600</xdr:rowOff>
    </xdr:from>
    <xdr:to>
      <xdr:col>33</xdr:col>
      <xdr:colOff>555979</xdr:colOff>
      <xdr:row>26</xdr:row>
      <xdr:rowOff>12700</xdr:rowOff>
    </xdr:to>
    <xdr:pic>
      <xdr:nvPicPr>
        <xdr:cNvPr id="15" name="Resim 14">
          <a:extLst>
            <a:ext uri="{FF2B5EF4-FFF2-40B4-BE49-F238E27FC236}">
              <a16:creationId xmlns:a16="http://schemas.microsoft.com/office/drawing/2014/main" id="{6C92E525-4210-4EFC-8EEA-35BB991E9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493888" y="495300"/>
          <a:ext cx="4178891" cy="4483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3</xdr:row>
      <xdr:rowOff>123825</xdr:rowOff>
    </xdr:from>
    <xdr:to>
      <xdr:col>5</xdr:col>
      <xdr:colOff>381395</xdr:colOff>
      <xdr:row>20</xdr:row>
      <xdr:rowOff>133803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563DCAEF-B399-476C-B2E9-3695AC353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695325"/>
          <a:ext cx="2829320" cy="3248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32E46-381A-471F-BB1C-20A004EB0259}">
  <dimension ref="A1:DL440"/>
  <sheetViews>
    <sheetView tabSelected="1" view="pageBreakPreview" topLeftCell="A206" zoomScaleNormal="100" zoomScaleSheetLayoutView="100" workbookViewId="0">
      <selection activeCell="K176" sqref="K176"/>
    </sheetView>
  </sheetViews>
  <sheetFormatPr defaultColWidth="3" defaultRowHeight="17.25" customHeight="1" x14ac:dyDescent="0.25"/>
  <cols>
    <col min="4" max="4" width="5.5703125" bestFit="1" customWidth="1"/>
    <col min="6" max="7" width="4.5703125" customWidth="1"/>
    <col min="8" max="8" width="4.7109375" customWidth="1"/>
    <col min="19" max="19" width="5.7109375" customWidth="1"/>
    <col min="21" max="21" width="5.7109375" customWidth="1"/>
    <col min="27" max="30" width="3" style="82"/>
    <col min="31" max="46" width="4.5703125" style="82" customWidth="1"/>
    <col min="47" max="47" width="4" style="82" bestFit="1" customWidth="1"/>
    <col min="48" max="51" width="3" style="82"/>
    <col min="52" max="52" width="4.5703125" style="82" bestFit="1" customWidth="1"/>
    <col min="53" max="109" width="3" style="82"/>
  </cols>
  <sheetData>
    <row r="1" spans="2:57" ht="17.25" customHeight="1" thickBot="1" x14ac:dyDescent="0.3">
      <c r="AR1" s="83"/>
    </row>
    <row r="2" spans="2:57" ht="17.25" customHeight="1" x14ac:dyDescent="0.25">
      <c r="E2" s="191" t="s">
        <v>0</v>
      </c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AE2" s="84"/>
      <c r="AF2" s="85"/>
      <c r="AG2" s="85"/>
      <c r="AH2" s="85"/>
      <c r="AI2" s="85"/>
      <c r="AJ2" s="265" t="s">
        <v>5</v>
      </c>
      <c r="AK2" s="265"/>
      <c r="AL2" s="265" t="s">
        <v>6</v>
      </c>
      <c r="AM2" s="265"/>
      <c r="AN2" s="265" t="s">
        <v>7</v>
      </c>
      <c r="AO2" s="265"/>
      <c r="AP2" s="265" t="s">
        <v>8</v>
      </c>
      <c r="AQ2" s="265"/>
      <c r="AR2" s="265" t="s">
        <v>164</v>
      </c>
      <c r="AS2" s="265"/>
      <c r="AT2" s="265" t="s">
        <v>627</v>
      </c>
      <c r="AU2" s="266"/>
    </row>
    <row r="3" spans="2:57" ht="17.25" customHeight="1" thickBot="1" x14ac:dyDescent="0.3">
      <c r="AE3" s="86" t="s">
        <v>28</v>
      </c>
      <c r="AF3" s="87"/>
      <c r="AG3" s="87"/>
      <c r="AH3" s="87"/>
      <c r="AI3" s="88"/>
      <c r="AJ3" s="261">
        <v>3830</v>
      </c>
      <c r="AK3" s="261"/>
      <c r="AL3" s="261">
        <v>13</v>
      </c>
      <c r="AM3" s="261"/>
      <c r="AN3" s="261">
        <v>2</v>
      </c>
      <c r="AO3" s="261"/>
      <c r="AP3" s="261">
        <f>1000*18*18*18/12</f>
        <v>486000</v>
      </c>
      <c r="AQ3" s="261"/>
      <c r="AR3" s="261">
        <f>18*1000</f>
        <v>18000</v>
      </c>
      <c r="AS3" s="261"/>
      <c r="AT3" s="261">
        <f>AP3/9</f>
        <v>54000</v>
      </c>
      <c r="AU3" s="262"/>
    </row>
    <row r="4" spans="2:57" ht="17.25" customHeight="1" thickBot="1" x14ac:dyDescent="0.3">
      <c r="B4" s="267" t="s">
        <v>3</v>
      </c>
      <c r="C4" s="268"/>
      <c r="D4" s="268"/>
      <c r="E4" s="268"/>
      <c r="F4" s="268"/>
      <c r="G4" s="268"/>
      <c r="H4" s="3"/>
      <c r="I4" s="3"/>
      <c r="J4" s="32"/>
      <c r="AE4" s="86" t="s">
        <v>154</v>
      </c>
      <c r="AF4" s="87"/>
      <c r="AG4" s="87"/>
      <c r="AH4" s="87"/>
      <c r="AI4" s="88"/>
      <c r="AJ4" s="261">
        <v>4453</v>
      </c>
      <c r="AK4" s="261"/>
      <c r="AL4" s="261">
        <v>14.3</v>
      </c>
      <c r="AM4" s="261"/>
      <c r="AN4" s="261">
        <v>2.2000000000000002</v>
      </c>
      <c r="AO4" s="261"/>
      <c r="AP4" s="261">
        <f>1000*21*21*21/12</f>
        <v>771750</v>
      </c>
      <c r="AQ4" s="261"/>
      <c r="AR4" s="261">
        <f>21*1000</f>
        <v>21000</v>
      </c>
      <c r="AS4" s="261"/>
      <c r="AT4" s="261">
        <f>AP4/10.5</f>
        <v>73500</v>
      </c>
      <c r="AU4" s="262"/>
    </row>
    <row r="5" spans="2:57" ht="17.25" customHeight="1" x14ac:dyDescent="0.25">
      <c r="B5" s="218" t="s">
        <v>1</v>
      </c>
      <c r="C5" s="219"/>
      <c r="D5" s="219"/>
      <c r="E5" s="219"/>
      <c r="F5" s="219"/>
      <c r="G5" s="219"/>
      <c r="H5" s="169" t="s">
        <v>11</v>
      </c>
      <c r="I5" s="169"/>
      <c r="J5" s="170"/>
      <c r="O5" s="214" t="s">
        <v>4</v>
      </c>
      <c r="P5" s="215"/>
      <c r="Q5" s="215"/>
      <c r="R5" s="215"/>
      <c r="S5" s="215"/>
      <c r="T5" s="215"/>
      <c r="U5" s="216" t="s">
        <v>28</v>
      </c>
      <c r="V5" s="216"/>
      <c r="W5" s="216"/>
      <c r="X5" s="216"/>
      <c r="Y5" s="61"/>
      <c r="AE5" s="86" t="s">
        <v>29</v>
      </c>
      <c r="AF5" s="87"/>
      <c r="AG5" s="87"/>
      <c r="AH5" s="87"/>
      <c r="AI5" s="88"/>
      <c r="AJ5" s="261">
        <v>1400</v>
      </c>
      <c r="AK5" s="261"/>
      <c r="AL5" s="261">
        <v>10</v>
      </c>
      <c r="AM5" s="261"/>
      <c r="AN5" s="261">
        <v>1.8</v>
      </c>
      <c r="AO5" s="261"/>
      <c r="AP5" s="261">
        <f>1000*18*18*18/12</f>
        <v>486000</v>
      </c>
      <c r="AQ5" s="261"/>
      <c r="AR5" s="261">
        <f>18*1000</f>
        <v>18000</v>
      </c>
      <c r="AS5" s="261"/>
      <c r="AT5" s="261">
        <f t="shared" ref="AT5:AT6" si="0">AP5/9</f>
        <v>54000</v>
      </c>
      <c r="AU5" s="262"/>
    </row>
    <row r="6" spans="2:57" ht="17.25" customHeight="1" x14ac:dyDescent="0.25">
      <c r="B6" s="218" t="s">
        <v>2</v>
      </c>
      <c r="C6" s="219"/>
      <c r="D6" s="219"/>
      <c r="E6" s="219"/>
      <c r="F6" s="219"/>
      <c r="G6" s="219"/>
      <c r="H6" s="269">
        <v>25</v>
      </c>
      <c r="I6" s="269"/>
      <c r="J6" s="270"/>
      <c r="O6" s="218" t="s">
        <v>10</v>
      </c>
      <c r="P6" s="219"/>
      <c r="Q6" s="219"/>
      <c r="R6" s="219"/>
      <c r="S6" s="219"/>
      <c r="T6" s="219"/>
      <c r="U6" s="153" t="s">
        <v>31</v>
      </c>
      <c r="V6" s="10"/>
      <c r="W6" s="10"/>
      <c r="X6" s="10"/>
      <c r="Y6" s="57"/>
      <c r="AE6" s="86" t="s">
        <v>155</v>
      </c>
      <c r="AF6" s="87"/>
      <c r="AG6" s="87"/>
      <c r="AH6" s="87"/>
      <c r="AI6" s="88"/>
      <c r="AJ6" s="261">
        <v>1000</v>
      </c>
      <c r="AK6" s="261"/>
      <c r="AL6" s="261">
        <v>13</v>
      </c>
      <c r="AM6" s="261"/>
      <c r="AN6" s="261">
        <v>3</v>
      </c>
      <c r="AO6" s="261"/>
      <c r="AP6" s="261">
        <f>1000*18*18*18/12</f>
        <v>486000</v>
      </c>
      <c r="AQ6" s="261"/>
      <c r="AR6" s="261">
        <f>18*1000</f>
        <v>18000</v>
      </c>
      <c r="AS6" s="261"/>
      <c r="AT6" s="261">
        <f t="shared" si="0"/>
        <v>54000</v>
      </c>
      <c r="AU6" s="262"/>
      <c r="BE6" s="89"/>
    </row>
    <row r="7" spans="2:57" ht="17.25" customHeight="1" x14ac:dyDescent="0.25">
      <c r="B7" s="218" t="s">
        <v>68</v>
      </c>
      <c r="C7" s="219"/>
      <c r="D7" s="219"/>
      <c r="E7" s="219"/>
      <c r="F7" s="219"/>
      <c r="G7" s="219"/>
      <c r="H7" s="169" t="s">
        <v>44</v>
      </c>
      <c r="I7" s="169"/>
      <c r="J7" s="170"/>
      <c r="O7" s="218" t="s">
        <v>9</v>
      </c>
      <c r="P7" s="219"/>
      <c r="Q7" s="219"/>
      <c r="R7" s="219"/>
      <c r="S7" s="219"/>
      <c r="T7" s="219"/>
      <c r="U7" s="153" t="s">
        <v>32</v>
      </c>
      <c r="V7" s="10"/>
      <c r="W7" s="10"/>
      <c r="X7" s="10"/>
      <c r="Y7" s="57"/>
      <c r="AE7" s="86" t="s">
        <v>660</v>
      </c>
      <c r="AF7" s="87"/>
      <c r="AG7" s="87"/>
      <c r="AH7" s="87"/>
      <c r="AI7" s="88"/>
      <c r="AJ7" s="261">
        <f>INDEX($AF$22:$AR$33,MATCH($H$7,$AF$22:$AF$33,0),9)*1000</f>
        <v>6400</v>
      </c>
      <c r="AK7" s="261"/>
      <c r="AL7" s="261">
        <f>INDEX($AF$22:$AR$33,MATCH($H$7,$AF$22:$AF$33,0),2)</f>
        <v>20</v>
      </c>
      <c r="AM7" s="261"/>
      <c r="AN7" s="261">
        <f>INDEX($AF$22:$AR$33,MATCH($H$7,$AF$22:$AF$33,0),7)</f>
        <v>3.6</v>
      </c>
      <c r="AO7" s="261"/>
      <c r="AP7" s="261">
        <f>1000*30*30*30/12</f>
        <v>2250000</v>
      </c>
      <c r="AQ7" s="261"/>
      <c r="AR7" s="261">
        <f>30*1000</f>
        <v>30000</v>
      </c>
      <c r="AS7" s="261"/>
      <c r="AT7" s="261">
        <f>AP7/15</f>
        <v>150000</v>
      </c>
      <c r="AU7" s="262"/>
      <c r="BE7" s="89"/>
    </row>
    <row r="8" spans="2:57" ht="17.25" customHeight="1" thickBot="1" x14ac:dyDescent="0.3">
      <c r="B8" s="218" t="s">
        <v>69</v>
      </c>
      <c r="C8" s="219"/>
      <c r="D8" s="219"/>
      <c r="E8" s="219"/>
      <c r="F8" s="219"/>
      <c r="G8" s="219"/>
      <c r="H8" s="169" t="s">
        <v>70</v>
      </c>
      <c r="I8" s="169"/>
      <c r="J8" s="170"/>
      <c r="O8" s="218" t="s">
        <v>163</v>
      </c>
      <c r="P8" s="219"/>
      <c r="Q8" s="219"/>
      <c r="R8" s="219"/>
      <c r="S8" s="219"/>
      <c r="T8" s="219"/>
      <c r="U8" s="246">
        <v>260</v>
      </c>
      <c r="V8" s="246"/>
      <c r="W8" s="55"/>
      <c r="X8" s="55"/>
      <c r="Y8" s="58"/>
      <c r="AE8" s="90"/>
      <c r="AF8" s="91"/>
      <c r="AG8" s="91"/>
      <c r="AH8" s="91"/>
      <c r="AI8" s="91"/>
      <c r="AJ8" s="263" t="s">
        <v>26</v>
      </c>
      <c r="AK8" s="263"/>
      <c r="AL8" s="263" t="s">
        <v>26</v>
      </c>
      <c r="AM8" s="263"/>
      <c r="AN8" s="263" t="s">
        <v>26</v>
      </c>
      <c r="AO8" s="263"/>
      <c r="AP8" s="259" t="s">
        <v>157</v>
      </c>
      <c r="AQ8" s="259"/>
      <c r="AR8" s="258" t="s">
        <v>39</v>
      </c>
      <c r="AS8" s="258"/>
      <c r="AT8" s="259" t="s">
        <v>628</v>
      </c>
      <c r="AU8" s="264"/>
      <c r="BE8" s="89"/>
    </row>
    <row r="9" spans="2:57" ht="17.25" customHeight="1" thickBot="1" x14ac:dyDescent="0.3">
      <c r="B9" s="336" t="s">
        <v>166</v>
      </c>
      <c r="C9" s="337"/>
      <c r="D9" s="337"/>
      <c r="E9" s="337"/>
      <c r="F9" s="337"/>
      <c r="G9" s="337"/>
      <c r="H9" s="379">
        <v>20</v>
      </c>
      <c r="I9" s="379"/>
      <c r="J9" s="380"/>
      <c r="O9" s="220" t="s">
        <v>162</v>
      </c>
      <c r="P9" s="221"/>
      <c r="Q9" s="221"/>
      <c r="R9" s="221"/>
      <c r="S9" s="221"/>
      <c r="T9" s="221"/>
      <c r="U9" s="344">
        <f>INDEX('Teleskobik Dikmeler'!$O$5:$P$45,MATCH(Sayfa1!$U$8,'Teleskobik Dikmeler'!$P$5:$P$45,0),1)</f>
        <v>20</v>
      </c>
      <c r="V9" s="344"/>
      <c r="W9" s="56"/>
      <c r="X9" s="56"/>
      <c r="Y9" s="59"/>
      <c r="AE9" s="92"/>
      <c r="AF9" s="93"/>
      <c r="AG9" s="93"/>
      <c r="AH9" s="247" t="s">
        <v>34</v>
      </c>
      <c r="AI9" s="247"/>
      <c r="AJ9" s="247" t="s">
        <v>36</v>
      </c>
      <c r="AK9" s="247"/>
      <c r="AL9" s="93"/>
      <c r="AM9" s="247" t="s">
        <v>35</v>
      </c>
      <c r="AN9" s="247"/>
      <c r="AO9" s="93"/>
      <c r="AP9" s="247" t="s">
        <v>37</v>
      </c>
      <c r="AQ9" s="247"/>
      <c r="AR9" s="93"/>
      <c r="AS9" s="247" t="s">
        <v>38</v>
      </c>
      <c r="AT9" s="247"/>
      <c r="AU9" s="94" t="s">
        <v>636</v>
      </c>
    </row>
    <row r="10" spans="2:57" ht="17.25" customHeight="1" thickBot="1" x14ac:dyDescent="0.3">
      <c r="O10" s="214" t="s">
        <v>647</v>
      </c>
      <c r="P10" s="216">
        <v>2</v>
      </c>
      <c r="Q10" s="317" t="s">
        <v>648</v>
      </c>
      <c r="R10" s="317"/>
      <c r="S10" s="317"/>
      <c r="T10" s="317"/>
      <c r="U10" s="317"/>
      <c r="V10" s="317"/>
      <c r="W10" s="317"/>
      <c r="X10" s="317"/>
      <c r="Y10" s="318"/>
      <c r="AE10" s="95" t="s">
        <v>30</v>
      </c>
      <c r="AF10" s="87"/>
      <c r="AG10" s="93"/>
      <c r="AH10" s="247">
        <v>2500</v>
      </c>
      <c r="AI10" s="247"/>
      <c r="AJ10" s="247">
        <f>POWER(50,3)*50/12</f>
        <v>520833.33333333331</v>
      </c>
      <c r="AK10" s="247"/>
      <c r="AL10" s="93"/>
      <c r="AM10" s="247">
        <f>AJ10/25</f>
        <v>20833.333333333332</v>
      </c>
      <c r="AN10" s="247"/>
      <c r="AO10" s="93"/>
      <c r="AP10" s="247">
        <f>POWER(50,3)*50/12</f>
        <v>520833.33333333331</v>
      </c>
      <c r="AQ10" s="247"/>
      <c r="AR10" s="93"/>
      <c r="AS10" s="247">
        <f>AP10/25</f>
        <v>20833.333333333332</v>
      </c>
      <c r="AT10" s="247"/>
      <c r="AU10" s="94">
        <v>50</v>
      </c>
    </row>
    <row r="11" spans="2:57" ht="17.25" customHeight="1" thickBot="1" x14ac:dyDescent="0.3">
      <c r="B11" s="232" t="s">
        <v>160</v>
      </c>
      <c r="C11" s="233"/>
      <c r="D11" s="205" t="s">
        <v>14</v>
      </c>
      <c r="E11" s="205"/>
      <c r="F11" s="211">
        <f>INDEX($AE$3:$AQ$6,MATCH(U5,$AE$3:$AE$6,0),6)</f>
        <v>3830</v>
      </c>
      <c r="G11" s="211"/>
      <c r="H11" s="212"/>
      <c r="O11" s="220"/>
      <c r="P11" s="222"/>
      <c r="Q11" s="319"/>
      <c r="R11" s="319"/>
      <c r="S11" s="319"/>
      <c r="T11" s="319"/>
      <c r="U11" s="319"/>
      <c r="V11" s="319"/>
      <c r="W11" s="319"/>
      <c r="X11" s="319"/>
      <c r="Y11" s="320"/>
      <c r="AE11" s="95" t="s">
        <v>31</v>
      </c>
      <c r="AF11" s="87"/>
      <c r="AG11" s="93"/>
      <c r="AH11" s="247">
        <v>5000</v>
      </c>
      <c r="AI11" s="247"/>
      <c r="AJ11" s="247">
        <f>POWER(100,3)*50/12</f>
        <v>4166666.6666666665</v>
      </c>
      <c r="AK11" s="247"/>
      <c r="AL11" s="93"/>
      <c r="AM11" s="247">
        <f>AJ11/50</f>
        <v>83333.333333333328</v>
      </c>
      <c r="AN11" s="247"/>
      <c r="AO11" s="93"/>
      <c r="AP11" s="247">
        <f>POWER(50,3)*100/12</f>
        <v>1041666.6666666666</v>
      </c>
      <c r="AQ11" s="247"/>
      <c r="AR11" s="93"/>
      <c r="AS11" s="247">
        <f>AP11/25</f>
        <v>41666.666666666664</v>
      </c>
      <c r="AT11" s="247"/>
      <c r="AU11" s="94">
        <v>50</v>
      </c>
    </row>
    <row r="12" spans="2:57" ht="17.25" customHeight="1" x14ac:dyDescent="0.25">
      <c r="B12" s="234"/>
      <c r="C12" s="235"/>
      <c r="D12" s="197" t="s">
        <v>15</v>
      </c>
      <c r="E12" s="197"/>
      <c r="F12" s="177">
        <f>INDEX($AE$3:$AQ$6,MATCH(U5,AE3:AE6,0),8)</f>
        <v>13</v>
      </c>
      <c r="G12" s="177"/>
      <c r="H12" s="178"/>
      <c r="I12" s="43"/>
      <c r="AE12" s="95" t="s">
        <v>32</v>
      </c>
      <c r="AF12" s="87"/>
      <c r="AG12" s="93"/>
      <c r="AH12" s="247">
        <v>10000</v>
      </c>
      <c r="AI12" s="247"/>
      <c r="AJ12" s="247">
        <f>POWER(100,3)*100/12</f>
        <v>8333333.333333333</v>
      </c>
      <c r="AK12" s="247"/>
      <c r="AL12" s="93"/>
      <c r="AM12" s="247">
        <f>AJ12/50</f>
        <v>166666.66666666666</v>
      </c>
      <c r="AN12" s="247"/>
      <c r="AO12" s="93"/>
      <c r="AP12" s="247">
        <f>POWER(100,3)*100/12</f>
        <v>8333333.333333333</v>
      </c>
      <c r="AQ12" s="247"/>
      <c r="AR12" s="93"/>
      <c r="AS12" s="247">
        <f>AP12/50</f>
        <v>166666.66666666666</v>
      </c>
      <c r="AT12" s="247"/>
      <c r="AU12" s="94">
        <v>100</v>
      </c>
      <c r="AZ12" s="89"/>
    </row>
    <row r="13" spans="2:57" ht="17.25" customHeight="1" x14ac:dyDescent="0.25">
      <c r="B13" s="234"/>
      <c r="C13" s="235"/>
      <c r="D13" s="197" t="s">
        <v>16</v>
      </c>
      <c r="E13" s="197"/>
      <c r="F13" s="177">
        <f>INDEX($AE$3:$AQ$6,MATCH(U5,AE3:AE6,0),10)</f>
        <v>2</v>
      </c>
      <c r="G13" s="177"/>
      <c r="H13" s="178"/>
      <c r="I13" s="43"/>
      <c r="AE13" s="95" t="s">
        <v>33</v>
      </c>
      <c r="AF13" s="87"/>
      <c r="AG13" s="93"/>
      <c r="AH13" s="247">
        <v>7500</v>
      </c>
      <c r="AI13" s="247"/>
      <c r="AJ13" s="247">
        <f>POWER(150,3)*50/12</f>
        <v>14062500</v>
      </c>
      <c r="AK13" s="247"/>
      <c r="AL13" s="93"/>
      <c r="AM13" s="247">
        <f>AJ13/75</f>
        <v>187500</v>
      </c>
      <c r="AN13" s="247"/>
      <c r="AO13" s="93"/>
      <c r="AP13" s="247">
        <f>POWER(50,3)*150/12</f>
        <v>1562500</v>
      </c>
      <c r="AQ13" s="247"/>
      <c r="AR13" s="93"/>
      <c r="AS13" s="247">
        <f>AP13/25</f>
        <v>62500</v>
      </c>
      <c r="AT13" s="247"/>
      <c r="AU13" s="94">
        <v>50</v>
      </c>
      <c r="AZ13" s="89"/>
    </row>
    <row r="14" spans="2:57" ht="17.25" customHeight="1" thickBot="1" x14ac:dyDescent="0.3">
      <c r="B14" s="234"/>
      <c r="C14" s="235"/>
      <c r="D14" s="197" t="s">
        <v>17</v>
      </c>
      <c r="E14" s="197"/>
      <c r="F14" s="203">
        <f>INDEX($AE$3:$AQ$6,MATCH(U5,AE3:AE6,0),12)</f>
        <v>486000</v>
      </c>
      <c r="G14" s="203"/>
      <c r="H14" s="204"/>
      <c r="I14" s="43"/>
      <c r="AE14" s="90"/>
      <c r="AF14" s="91"/>
      <c r="AG14" s="91"/>
      <c r="AH14" s="258" t="s">
        <v>39</v>
      </c>
      <c r="AI14" s="258"/>
      <c r="AJ14" s="259" t="s">
        <v>27</v>
      </c>
      <c r="AK14" s="259"/>
      <c r="AL14" s="96"/>
      <c r="AM14" s="259" t="s">
        <v>40</v>
      </c>
      <c r="AN14" s="259"/>
      <c r="AO14" s="96"/>
      <c r="AP14" s="259" t="s">
        <v>27</v>
      </c>
      <c r="AQ14" s="259"/>
      <c r="AR14" s="96"/>
      <c r="AS14" s="259" t="s">
        <v>40</v>
      </c>
      <c r="AT14" s="259"/>
      <c r="AU14" s="97"/>
    </row>
    <row r="15" spans="2:57" ht="17.25" customHeight="1" thickBot="1" x14ac:dyDescent="0.3">
      <c r="B15" s="234"/>
      <c r="C15" s="235"/>
      <c r="D15" s="197" t="s">
        <v>629</v>
      </c>
      <c r="E15" s="197"/>
      <c r="F15" s="230">
        <f>INDEX($AE$3:$AT$6,MATCH(U5,AE3:AE6,0),16)</f>
        <v>54000</v>
      </c>
      <c r="G15" s="230"/>
      <c r="H15" s="231"/>
      <c r="I15" s="43"/>
    </row>
    <row r="16" spans="2:57" ht="17.25" customHeight="1" x14ac:dyDescent="0.25">
      <c r="B16" s="234"/>
      <c r="C16" s="235"/>
      <c r="D16" s="197" t="s">
        <v>632</v>
      </c>
      <c r="E16" s="197"/>
      <c r="F16" s="198">
        <f>INDEX($AE$3:$AS$6,MATCH(U5,AE3:AE6,0),14)</f>
        <v>18000</v>
      </c>
      <c r="G16" s="198"/>
      <c r="H16" s="199"/>
      <c r="I16" s="43"/>
      <c r="AF16" s="371" t="s">
        <v>55</v>
      </c>
      <c r="AG16" s="373" t="s">
        <v>56</v>
      </c>
      <c r="AH16" s="373" t="s">
        <v>57</v>
      </c>
      <c r="AI16" s="373" t="s">
        <v>58</v>
      </c>
      <c r="AJ16" s="375" t="s">
        <v>59</v>
      </c>
      <c r="AK16" s="375" t="s">
        <v>60</v>
      </c>
      <c r="AL16" s="375" t="s">
        <v>61</v>
      </c>
      <c r="AM16" s="375" t="s">
        <v>62</v>
      </c>
      <c r="AN16" s="375" t="s">
        <v>63</v>
      </c>
      <c r="AO16" s="375" t="s">
        <v>64</v>
      </c>
      <c r="AP16" s="375" t="s">
        <v>65</v>
      </c>
      <c r="AQ16" s="375" t="s">
        <v>66</v>
      </c>
      <c r="AR16" s="368" t="s">
        <v>67</v>
      </c>
    </row>
    <row r="17" spans="2:44" ht="17.25" customHeight="1" thickBot="1" x14ac:dyDescent="0.3">
      <c r="B17" s="236"/>
      <c r="C17" s="237"/>
      <c r="D17" s="194" t="s">
        <v>633</v>
      </c>
      <c r="E17" s="194"/>
      <c r="F17" s="195">
        <v>1000</v>
      </c>
      <c r="G17" s="195"/>
      <c r="H17" s="196"/>
      <c r="I17" s="43"/>
      <c r="AF17" s="372"/>
      <c r="AG17" s="374"/>
      <c r="AH17" s="374"/>
      <c r="AI17" s="374"/>
      <c r="AJ17" s="376"/>
      <c r="AK17" s="376"/>
      <c r="AL17" s="376"/>
      <c r="AM17" s="376"/>
      <c r="AN17" s="376"/>
      <c r="AO17" s="376"/>
      <c r="AP17" s="376"/>
      <c r="AQ17" s="376"/>
      <c r="AR17" s="369"/>
    </row>
    <row r="18" spans="2:44" ht="17.25" customHeight="1" x14ac:dyDescent="0.25">
      <c r="B18" s="232" t="s">
        <v>12</v>
      </c>
      <c r="C18" s="233"/>
      <c r="D18" s="205" t="s">
        <v>18</v>
      </c>
      <c r="E18" s="205"/>
      <c r="F18" s="211">
        <f>INDEX($AF$22:$AR$33,MATCH($H$7,$AF$22:$AF$33,0),9)*1000</f>
        <v>6400</v>
      </c>
      <c r="G18" s="211"/>
      <c r="H18" s="212"/>
      <c r="I18" s="43"/>
      <c r="AF18" s="372"/>
      <c r="AG18" s="374"/>
      <c r="AH18" s="374"/>
      <c r="AI18" s="374"/>
      <c r="AJ18" s="376"/>
      <c r="AK18" s="376"/>
      <c r="AL18" s="376"/>
      <c r="AM18" s="376"/>
      <c r="AN18" s="376"/>
      <c r="AO18" s="376"/>
      <c r="AP18" s="376"/>
      <c r="AQ18" s="376"/>
      <c r="AR18" s="369"/>
    </row>
    <row r="19" spans="2:44" ht="17.25" customHeight="1" x14ac:dyDescent="0.25">
      <c r="B19" s="234"/>
      <c r="C19" s="235"/>
      <c r="D19" s="197" t="s">
        <v>19</v>
      </c>
      <c r="E19" s="197"/>
      <c r="F19" s="177">
        <f>INDEX($AF$22:$AR$33,MATCH($H$7,$AF$22:$AF$33,0),2)</f>
        <v>20</v>
      </c>
      <c r="G19" s="177"/>
      <c r="H19" s="178"/>
      <c r="I19" s="43"/>
      <c r="AF19" s="372"/>
      <c r="AG19" s="374"/>
      <c r="AH19" s="374"/>
      <c r="AI19" s="374"/>
      <c r="AJ19" s="376"/>
      <c r="AK19" s="376"/>
      <c r="AL19" s="376"/>
      <c r="AM19" s="376"/>
      <c r="AN19" s="376"/>
      <c r="AO19" s="376"/>
      <c r="AP19" s="376"/>
      <c r="AQ19" s="376"/>
      <c r="AR19" s="369"/>
    </row>
    <row r="20" spans="2:44" ht="17.25" customHeight="1" x14ac:dyDescent="0.25">
      <c r="B20" s="234"/>
      <c r="C20" s="235"/>
      <c r="D20" s="197" t="s">
        <v>20</v>
      </c>
      <c r="E20" s="197"/>
      <c r="F20" s="177">
        <f>INDEX($AF$22:$AR$33,MATCH($H$7,$AF$22:$AF$33,0),7)</f>
        <v>3.6</v>
      </c>
      <c r="G20" s="177"/>
      <c r="H20" s="178"/>
      <c r="I20" s="43"/>
      <c r="AF20" s="372"/>
      <c r="AG20" s="374"/>
      <c r="AH20" s="374"/>
      <c r="AI20" s="374"/>
      <c r="AJ20" s="376"/>
      <c r="AK20" s="376"/>
      <c r="AL20" s="376"/>
      <c r="AM20" s="376"/>
      <c r="AN20" s="376"/>
      <c r="AO20" s="376"/>
      <c r="AP20" s="376"/>
      <c r="AQ20" s="376"/>
      <c r="AR20" s="369"/>
    </row>
    <row r="21" spans="2:44" ht="17.25" customHeight="1" x14ac:dyDescent="0.25">
      <c r="B21" s="234"/>
      <c r="C21" s="235"/>
      <c r="D21" s="197" t="s">
        <v>21</v>
      </c>
      <c r="E21" s="197"/>
      <c r="F21" s="203">
        <f>INDEX($AE$10:$AK$13,MATCH($U$6,$AE$10:$AE$13,0),6)</f>
        <v>4166666.6666666665</v>
      </c>
      <c r="G21" s="203"/>
      <c r="H21" s="204"/>
      <c r="I21" s="43"/>
      <c r="AF21" s="98"/>
      <c r="AG21" s="367" t="s">
        <v>52</v>
      </c>
      <c r="AH21" s="367"/>
      <c r="AI21" s="367"/>
      <c r="AJ21" s="367"/>
      <c r="AK21" s="367"/>
      <c r="AL21" s="367"/>
      <c r="AM21" s="367" t="s">
        <v>53</v>
      </c>
      <c r="AN21" s="367"/>
      <c r="AO21" s="367"/>
      <c r="AP21" s="367"/>
      <c r="AQ21" s="367" t="s">
        <v>54</v>
      </c>
      <c r="AR21" s="377"/>
    </row>
    <row r="22" spans="2:44" ht="17.25" customHeight="1" x14ac:dyDescent="0.25">
      <c r="B22" s="234"/>
      <c r="C22" s="235"/>
      <c r="D22" s="311" t="s">
        <v>630</v>
      </c>
      <c r="E22" s="311"/>
      <c r="F22" s="309">
        <f>INDEX($AE$10:$AN$13,MATCH($U$6,$AE$10:$AE$13,0),9)</f>
        <v>83333.333333333328</v>
      </c>
      <c r="G22" s="309"/>
      <c r="H22" s="310"/>
      <c r="I22" s="43"/>
      <c r="AF22" s="99" t="s">
        <v>41</v>
      </c>
      <c r="AG22" s="100">
        <v>14</v>
      </c>
      <c r="AH22" s="100">
        <v>8</v>
      </c>
      <c r="AI22" s="101">
        <v>0.4</v>
      </c>
      <c r="AJ22" s="100">
        <v>16</v>
      </c>
      <c r="AK22" s="101">
        <v>2</v>
      </c>
      <c r="AL22" s="101">
        <v>3</v>
      </c>
      <c r="AM22" s="101">
        <v>7</v>
      </c>
      <c r="AN22" s="101">
        <v>4.7</v>
      </c>
      <c r="AO22" s="102">
        <v>0.23</v>
      </c>
      <c r="AP22" s="103">
        <v>0.44</v>
      </c>
      <c r="AQ22" s="100">
        <v>290</v>
      </c>
      <c r="AR22" s="104">
        <v>350</v>
      </c>
    </row>
    <row r="23" spans="2:44" ht="17.25" customHeight="1" x14ac:dyDescent="0.25">
      <c r="B23" s="234"/>
      <c r="C23" s="235"/>
      <c r="D23" s="197" t="s">
        <v>634</v>
      </c>
      <c r="E23" s="197"/>
      <c r="F23" s="198">
        <f>INDEX($AE$10:$AN$13,MATCH($U$6,$AE$10:$AE$13,0),4)</f>
        <v>5000</v>
      </c>
      <c r="G23" s="198"/>
      <c r="H23" s="199"/>
      <c r="I23" s="43"/>
      <c r="AF23" s="99" t="s">
        <v>42</v>
      </c>
      <c r="AG23" s="100">
        <v>16</v>
      </c>
      <c r="AH23" s="100">
        <v>10</v>
      </c>
      <c r="AI23" s="101">
        <v>0.4</v>
      </c>
      <c r="AJ23" s="100">
        <v>17</v>
      </c>
      <c r="AK23" s="101">
        <v>2.2000000000000002</v>
      </c>
      <c r="AL23" s="101">
        <v>3.2</v>
      </c>
      <c r="AM23" s="101">
        <v>8</v>
      </c>
      <c r="AN23" s="101">
        <v>5.4</v>
      </c>
      <c r="AO23" s="102">
        <v>0.27</v>
      </c>
      <c r="AP23" s="103">
        <v>0.5</v>
      </c>
      <c r="AQ23" s="100">
        <v>310</v>
      </c>
      <c r="AR23" s="104">
        <v>370</v>
      </c>
    </row>
    <row r="24" spans="2:44" ht="17.25" customHeight="1" thickBot="1" x14ac:dyDescent="0.3">
      <c r="B24" s="234"/>
      <c r="C24" s="235"/>
      <c r="D24" s="311" t="s">
        <v>635</v>
      </c>
      <c r="E24" s="311"/>
      <c r="F24" s="312">
        <f>INDEX($AE$10:$AU$13,MATCH($U$6,$AE$10:$AE$13,0),17)</f>
        <v>50</v>
      </c>
      <c r="G24" s="312"/>
      <c r="H24" s="313"/>
      <c r="I24" s="43"/>
      <c r="AF24" s="99" t="s">
        <v>43</v>
      </c>
      <c r="AG24" s="100">
        <v>18</v>
      </c>
      <c r="AH24" s="100">
        <v>11</v>
      </c>
      <c r="AI24" s="101">
        <v>0.4</v>
      </c>
      <c r="AJ24" s="100">
        <v>18</v>
      </c>
      <c r="AK24" s="101">
        <v>2.2000000000000002</v>
      </c>
      <c r="AL24" s="101">
        <v>3.4</v>
      </c>
      <c r="AM24" s="101">
        <v>9</v>
      </c>
      <c r="AN24" s="101">
        <v>6</v>
      </c>
      <c r="AO24" s="102">
        <v>0.3</v>
      </c>
      <c r="AP24" s="103">
        <v>0.56000000000000005</v>
      </c>
      <c r="AQ24" s="100">
        <v>320</v>
      </c>
      <c r="AR24" s="104">
        <v>380</v>
      </c>
    </row>
    <row r="25" spans="2:44" ht="17.25" customHeight="1" thickBot="1" x14ac:dyDescent="0.3">
      <c r="B25" s="208" t="s">
        <v>13</v>
      </c>
      <c r="C25" s="238"/>
      <c r="D25" s="205" t="s">
        <v>22</v>
      </c>
      <c r="E25" s="205"/>
      <c r="F25" s="211">
        <f>INDEX($AF$22:$AR$33,MATCH($H$7,$AF$22:$AF$33,0),9)*1000</f>
        <v>6400</v>
      </c>
      <c r="G25" s="211"/>
      <c r="H25" s="212"/>
      <c r="I25" s="43"/>
      <c r="AF25" s="99" t="s">
        <v>44</v>
      </c>
      <c r="AG25" s="100">
        <v>20</v>
      </c>
      <c r="AH25" s="100">
        <v>12</v>
      </c>
      <c r="AI25" s="101">
        <v>0.4</v>
      </c>
      <c r="AJ25" s="100">
        <v>19</v>
      </c>
      <c r="AK25" s="101">
        <v>2.2999999999999998</v>
      </c>
      <c r="AL25" s="101">
        <v>3.6</v>
      </c>
      <c r="AM25" s="101">
        <v>9.5</v>
      </c>
      <c r="AN25" s="101">
        <v>6.4</v>
      </c>
      <c r="AO25" s="102">
        <v>0.32</v>
      </c>
      <c r="AP25" s="103">
        <v>0.59</v>
      </c>
      <c r="AQ25" s="100">
        <v>330</v>
      </c>
      <c r="AR25" s="104">
        <v>390</v>
      </c>
    </row>
    <row r="26" spans="2:44" ht="17.25" customHeight="1" x14ac:dyDescent="0.25">
      <c r="B26" s="209"/>
      <c r="C26" s="239"/>
      <c r="D26" s="197" t="s">
        <v>23</v>
      </c>
      <c r="E26" s="197"/>
      <c r="F26" s="177">
        <f>INDEX($AF$22:$AR$33,MATCH($H$7,$AF$22:$AF$33,0),2)</f>
        <v>20</v>
      </c>
      <c r="G26" s="177"/>
      <c r="H26" s="178"/>
      <c r="M26" s="267" t="s">
        <v>165</v>
      </c>
      <c r="N26" s="268"/>
      <c r="O26" s="268"/>
      <c r="P26" s="268"/>
      <c r="Q26" s="268"/>
      <c r="R26" s="3"/>
      <c r="S26" s="3"/>
      <c r="T26" s="32"/>
      <c r="AF26" s="99" t="s">
        <v>45</v>
      </c>
      <c r="AG26" s="100">
        <v>22</v>
      </c>
      <c r="AH26" s="100">
        <v>13</v>
      </c>
      <c r="AI26" s="101">
        <v>0.4</v>
      </c>
      <c r="AJ26" s="100">
        <v>20</v>
      </c>
      <c r="AK26" s="101">
        <v>2.4</v>
      </c>
      <c r="AL26" s="101">
        <v>3.8</v>
      </c>
      <c r="AM26" s="101">
        <v>10</v>
      </c>
      <c r="AN26" s="101">
        <v>6.7</v>
      </c>
      <c r="AO26" s="102">
        <v>0.33</v>
      </c>
      <c r="AP26" s="103">
        <v>0.63</v>
      </c>
      <c r="AQ26" s="100">
        <v>340</v>
      </c>
      <c r="AR26" s="104">
        <v>410</v>
      </c>
    </row>
    <row r="27" spans="2:44" ht="17.25" customHeight="1" x14ac:dyDescent="0.25">
      <c r="B27" s="209"/>
      <c r="C27" s="239"/>
      <c r="D27" s="197" t="s">
        <v>24</v>
      </c>
      <c r="E27" s="197"/>
      <c r="F27" s="177">
        <f>INDEX($AF$22:$AR$33,MATCH($H$7,$AF$22:$AF$33,0),7)</f>
        <v>3.6</v>
      </c>
      <c r="G27" s="177"/>
      <c r="H27" s="178"/>
      <c r="M27" s="218" t="s">
        <v>170</v>
      </c>
      <c r="N27" s="219"/>
      <c r="O27" s="219"/>
      <c r="P27" s="219"/>
      <c r="Q27" s="219"/>
      <c r="R27" s="338">
        <f>25*(H9/100)</f>
        <v>5</v>
      </c>
      <c r="S27" s="338"/>
      <c r="T27" s="339"/>
      <c r="AF27" s="99" t="s">
        <v>46</v>
      </c>
      <c r="AG27" s="100">
        <v>24</v>
      </c>
      <c r="AH27" s="100">
        <v>14</v>
      </c>
      <c r="AI27" s="101">
        <v>0.4</v>
      </c>
      <c r="AJ27" s="100">
        <v>21</v>
      </c>
      <c r="AK27" s="101">
        <v>2.5</v>
      </c>
      <c r="AL27" s="101">
        <v>4</v>
      </c>
      <c r="AM27" s="101">
        <v>11</v>
      </c>
      <c r="AN27" s="101">
        <v>7.4</v>
      </c>
      <c r="AO27" s="102">
        <v>0.37</v>
      </c>
      <c r="AP27" s="103">
        <v>0.69</v>
      </c>
      <c r="AQ27" s="100">
        <v>350</v>
      </c>
      <c r="AR27" s="104">
        <v>420</v>
      </c>
    </row>
    <row r="28" spans="2:44" ht="17.25" customHeight="1" x14ac:dyDescent="0.25">
      <c r="B28" s="209"/>
      <c r="C28" s="239"/>
      <c r="D28" s="197" t="s">
        <v>25</v>
      </c>
      <c r="E28" s="197"/>
      <c r="F28" s="203">
        <f>INDEX($AE$10:$AK$13,MATCH($U$7,$AE$10:$AE$13,0),6)</f>
        <v>8333333.333333333</v>
      </c>
      <c r="G28" s="203"/>
      <c r="H28" s="204"/>
      <c r="M28" s="334" t="s">
        <v>167</v>
      </c>
      <c r="N28" s="335"/>
      <c r="O28" s="335"/>
      <c r="P28" s="335"/>
      <c r="Q28" s="335"/>
      <c r="R28" s="340">
        <v>0.3</v>
      </c>
      <c r="S28" s="340"/>
      <c r="T28" s="341"/>
      <c r="AF28" s="99" t="s">
        <v>47</v>
      </c>
      <c r="AG28" s="100">
        <v>27</v>
      </c>
      <c r="AH28" s="100">
        <v>16</v>
      </c>
      <c r="AI28" s="101">
        <v>0.4</v>
      </c>
      <c r="AJ28" s="100">
        <v>22</v>
      </c>
      <c r="AK28" s="101">
        <v>2.6</v>
      </c>
      <c r="AL28" s="101">
        <v>4</v>
      </c>
      <c r="AM28" s="101">
        <v>11.5</v>
      </c>
      <c r="AN28" s="101">
        <v>7.7</v>
      </c>
      <c r="AO28" s="102">
        <v>0.38</v>
      </c>
      <c r="AP28" s="103">
        <v>0.72</v>
      </c>
      <c r="AQ28" s="100">
        <v>370</v>
      </c>
      <c r="AR28" s="104">
        <v>450</v>
      </c>
    </row>
    <row r="29" spans="2:44" ht="17.25" customHeight="1" x14ac:dyDescent="0.25">
      <c r="B29" s="209"/>
      <c r="C29" s="239"/>
      <c r="D29" s="197" t="s">
        <v>631</v>
      </c>
      <c r="E29" s="197"/>
      <c r="F29" s="230">
        <f>INDEX($AE$10:$AN$13,MATCH($U$7,$AE$10:$AE$13,0),9)</f>
        <v>166666.66666666666</v>
      </c>
      <c r="G29" s="230"/>
      <c r="H29" s="231"/>
      <c r="M29" s="218" t="s">
        <v>168</v>
      </c>
      <c r="N29" s="219"/>
      <c r="O29" s="219"/>
      <c r="P29" s="219"/>
      <c r="Q29" s="219"/>
      <c r="R29" s="342">
        <f>R27+R28</f>
        <v>5.3</v>
      </c>
      <c r="S29" s="342"/>
      <c r="T29" s="343"/>
      <c r="AF29" s="99" t="s">
        <v>11</v>
      </c>
      <c r="AG29" s="100">
        <v>30</v>
      </c>
      <c r="AH29" s="100">
        <v>18</v>
      </c>
      <c r="AI29" s="101">
        <v>0.4</v>
      </c>
      <c r="AJ29" s="100">
        <v>23</v>
      </c>
      <c r="AK29" s="101">
        <v>2.7</v>
      </c>
      <c r="AL29" s="101">
        <v>4</v>
      </c>
      <c r="AM29" s="101">
        <v>12</v>
      </c>
      <c r="AN29" s="101">
        <v>8</v>
      </c>
      <c r="AO29" s="102">
        <v>0.4</v>
      </c>
      <c r="AP29" s="103">
        <v>0.75</v>
      </c>
      <c r="AQ29" s="100">
        <v>380</v>
      </c>
      <c r="AR29" s="104">
        <v>460</v>
      </c>
    </row>
    <row r="30" spans="2:44" ht="17.25" customHeight="1" x14ac:dyDescent="0.25">
      <c r="B30" s="209"/>
      <c r="C30" s="239"/>
      <c r="D30" s="197" t="s">
        <v>637</v>
      </c>
      <c r="E30" s="197"/>
      <c r="F30" s="198">
        <f>INDEX($AE$10:$AN$13,MATCH($U$7,$AE$10:$AE$13,0),4)</f>
        <v>10000</v>
      </c>
      <c r="G30" s="198"/>
      <c r="H30" s="199"/>
      <c r="M30" s="9"/>
      <c r="N30" s="43"/>
      <c r="O30" s="43"/>
      <c r="P30" s="43"/>
      <c r="Q30" s="43"/>
      <c r="R30" s="44"/>
      <c r="S30" s="43"/>
      <c r="T30" s="45"/>
      <c r="AF30" s="99" t="s">
        <v>48</v>
      </c>
      <c r="AG30" s="100">
        <v>35</v>
      </c>
      <c r="AH30" s="100">
        <v>21</v>
      </c>
      <c r="AI30" s="101">
        <v>0.4</v>
      </c>
      <c r="AJ30" s="100">
        <v>25</v>
      </c>
      <c r="AK30" s="101">
        <v>2.8</v>
      </c>
      <c r="AL30" s="101">
        <v>4</v>
      </c>
      <c r="AM30" s="101">
        <v>13</v>
      </c>
      <c r="AN30" s="101">
        <v>8.6999999999999993</v>
      </c>
      <c r="AO30" s="102">
        <v>0.43</v>
      </c>
      <c r="AP30" s="103">
        <v>0.81</v>
      </c>
      <c r="AQ30" s="100">
        <v>400</v>
      </c>
      <c r="AR30" s="104">
        <v>480</v>
      </c>
    </row>
    <row r="31" spans="2:44" ht="17.25" customHeight="1" thickBot="1" x14ac:dyDescent="0.3">
      <c r="B31" s="210"/>
      <c r="C31" s="240"/>
      <c r="D31" s="194" t="s">
        <v>638</v>
      </c>
      <c r="E31" s="194"/>
      <c r="F31" s="195">
        <f>INDEX($AE$10:$AU$13,MATCH($U$7,$AE$10:$AE$13,0),17)</f>
        <v>100</v>
      </c>
      <c r="G31" s="195"/>
      <c r="H31" s="196"/>
      <c r="M31" s="334" t="s">
        <v>169</v>
      </c>
      <c r="N31" s="335"/>
      <c r="O31" s="335"/>
      <c r="P31" s="335"/>
      <c r="Q31" s="335"/>
      <c r="R31" s="340">
        <v>2.5</v>
      </c>
      <c r="S31" s="340"/>
      <c r="T31" s="341"/>
      <c r="AF31" s="99" t="s">
        <v>49</v>
      </c>
      <c r="AG31" s="100">
        <v>40</v>
      </c>
      <c r="AH31" s="100">
        <v>24</v>
      </c>
      <c r="AI31" s="101">
        <v>0.4</v>
      </c>
      <c r="AJ31" s="100">
        <v>26</v>
      </c>
      <c r="AK31" s="101">
        <v>2.9</v>
      </c>
      <c r="AL31" s="101">
        <v>4</v>
      </c>
      <c r="AM31" s="101">
        <v>14</v>
      </c>
      <c r="AN31" s="101">
        <v>9.4</v>
      </c>
      <c r="AO31" s="102">
        <v>0.47</v>
      </c>
      <c r="AP31" s="103">
        <v>0.88</v>
      </c>
      <c r="AQ31" s="100">
        <v>420</v>
      </c>
      <c r="AR31" s="104">
        <v>500</v>
      </c>
    </row>
    <row r="32" spans="2:44" ht="17.25" customHeight="1" thickBot="1" x14ac:dyDescent="0.3">
      <c r="M32" s="220" t="s">
        <v>656</v>
      </c>
      <c r="N32" s="221"/>
      <c r="O32" s="221"/>
      <c r="P32" s="221"/>
      <c r="Q32" s="221"/>
      <c r="R32" s="332">
        <f>R29+R31</f>
        <v>7.8</v>
      </c>
      <c r="S32" s="332"/>
      <c r="T32" s="333"/>
      <c r="AF32" s="99" t="s">
        <v>50</v>
      </c>
      <c r="AG32" s="100">
        <v>45</v>
      </c>
      <c r="AH32" s="100">
        <v>27</v>
      </c>
      <c r="AI32" s="101">
        <v>0.4</v>
      </c>
      <c r="AJ32" s="100">
        <v>27</v>
      </c>
      <c r="AK32" s="101">
        <v>3.1</v>
      </c>
      <c r="AL32" s="101">
        <v>4</v>
      </c>
      <c r="AM32" s="101">
        <v>15</v>
      </c>
      <c r="AN32" s="101">
        <v>10</v>
      </c>
      <c r="AO32" s="102">
        <v>0.5</v>
      </c>
      <c r="AP32" s="103">
        <v>0.94</v>
      </c>
      <c r="AQ32" s="100">
        <v>440</v>
      </c>
      <c r="AR32" s="104">
        <v>520</v>
      </c>
    </row>
    <row r="33" spans="1:116" ht="17.25" customHeight="1" thickBot="1" x14ac:dyDescent="0.3">
      <c r="AF33" s="105" t="s">
        <v>51</v>
      </c>
      <c r="AG33" s="106">
        <v>50</v>
      </c>
      <c r="AH33" s="106">
        <v>30</v>
      </c>
      <c r="AI33" s="107">
        <v>0.4</v>
      </c>
      <c r="AJ33" s="106">
        <v>29</v>
      </c>
      <c r="AK33" s="107">
        <v>3.2</v>
      </c>
      <c r="AL33" s="107">
        <v>4</v>
      </c>
      <c r="AM33" s="107">
        <v>16</v>
      </c>
      <c r="AN33" s="107">
        <v>10.7</v>
      </c>
      <c r="AO33" s="108">
        <v>0.53</v>
      </c>
      <c r="AP33" s="109">
        <v>1</v>
      </c>
      <c r="AQ33" s="106">
        <v>460</v>
      </c>
      <c r="AR33" s="110">
        <v>550</v>
      </c>
    </row>
    <row r="34" spans="1:116" ht="17.25" customHeight="1" thickBot="1" x14ac:dyDescent="0.3">
      <c r="B34" s="46" t="s">
        <v>623</v>
      </c>
      <c r="C34" s="47"/>
      <c r="D34" s="47"/>
      <c r="E34" s="47"/>
      <c r="F34" s="47"/>
      <c r="G34" s="48"/>
    </row>
    <row r="35" spans="1:116" ht="17.25" customHeight="1" thickBot="1" x14ac:dyDescent="0.3">
      <c r="B35" s="218" t="s">
        <v>624</v>
      </c>
      <c r="C35" s="219"/>
      <c r="D35" s="219"/>
      <c r="E35" s="219"/>
      <c r="F35" s="326">
        <v>2</v>
      </c>
      <c r="G35" s="327"/>
      <c r="AE35" s="84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85"/>
      <c r="BN35" s="85"/>
      <c r="BO35" s="85"/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5"/>
      <c r="CA35" s="85"/>
      <c r="CB35" s="85"/>
      <c r="CC35" s="85"/>
      <c r="CD35" s="85"/>
      <c r="CE35" s="85"/>
      <c r="CF35" s="85"/>
      <c r="CG35" s="85"/>
      <c r="CH35" s="85"/>
      <c r="CI35" s="85"/>
      <c r="CJ35" s="85"/>
      <c r="CK35" s="85"/>
      <c r="CL35" s="85"/>
      <c r="CM35" s="85"/>
      <c r="CN35" s="85"/>
      <c r="CO35" s="85"/>
      <c r="CP35" s="85"/>
      <c r="CQ35" s="85"/>
      <c r="CR35" s="85"/>
      <c r="CS35" s="85"/>
      <c r="CT35" s="85"/>
      <c r="CU35" s="85"/>
      <c r="CV35" s="85"/>
      <c r="CW35" s="85"/>
      <c r="CX35" s="85"/>
      <c r="CY35" s="85"/>
      <c r="CZ35" s="85"/>
      <c r="DA35" s="85"/>
      <c r="DB35" s="85"/>
      <c r="DC35" s="85"/>
      <c r="DD35" s="85"/>
      <c r="DE35" s="85"/>
      <c r="DF35" s="3"/>
      <c r="DG35" s="3"/>
      <c r="DH35" s="3"/>
      <c r="DI35" s="3"/>
      <c r="DJ35" s="3"/>
      <c r="DK35" s="3"/>
      <c r="DL35" s="32"/>
    </row>
    <row r="36" spans="1:116" ht="17.25" customHeight="1" x14ac:dyDescent="0.25">
      <c r="B36" s="218" t="s">
        <v>625</v>
      </c>
      <c r="C36" s="219"/>
      <c r="D36" s="219"/>
      <c r="E36" s="219"/>
      <c r="F36" s="326">
        <v>2</v>
      </c>
      <c r="G36" s="327"/>
      <c r="AE36" s="111"/>
      <c r="AF36" s="367" t="s">
        <v>79</v>
      </c>
      <c r="AG36" s="367"/>
      <c r="AH36" s="367"/>
      <c r="AI36" s="367"/>
      <c r="AJ36" s="367"/>
      <c r="AK36" s="367"/>
      <c r="AL36" s="367"/>
      <c r="AM36" s="367"/>
      <c r="AN36" s="367"/>
      <c r="AO36" s="367"/>
      <c r="AP36" s="367"/>
      <c r="AQ36" s="367"/>
      <c r="AR36" s="367"/>
      <c r="AS36" s="367"/>
      <c r="AT36" s="367"/>
      <c r="AU36" s="88"/>
      <c r="AV36" s="88"/>
      <c r="AW36" s="88"/>
      <c r="AX36" s="88"/>
      <c r="AY36" s="88"/>
      <c r="AZ36" s="84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112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5"/>
      <c r="DG36" s="5"/>
      <c r="DH36" s="5"/>
      <c r="DI36" s="5"/>
      <c r="DJ36" s="5"/>
      <c r="DK36" s="5"/>
      <c r="DL36" s="6"/>
    </row>
    <row r="37" spans="1:116" ht="17.25" customHeight="1" thickBot="1" x14ac:dyDescent="0.3">
      <c r="B37" s="220" t="s">
        <v>626</v>
      </c>
      <c r="C37" s="221"/>
      <c r="D37" s="221"/>
      <c r="E37" s="221"/>
      <c r="F37" s="328">
        <v>20</v>
      </c>
      <c r="G37" s="329"/>
      <c r="AE37" s="111"/>
      <c r="AF37" s="378" t="s">
        <v>74</v>
      </c>
      <c r="AG37" s="378"/>
      <c r="AH37" s="370" t="s">
        <v>71</v>
      </c>
      <c r="AI37" s="370"/>
      <c r="AJ37" s="370"/>
      <c r="AK37" s="370"/>
      <c r="AL37" s="370"/>
      <c r="AM37" s="370"/>
      <c r="AN37" s="370" t="s">
        <v>72</v>
      </c>
      <c r="AO37" s="370"/>
      <c r="AP37" s="370"/>
      <c r="AQ37" s="370"/>
      <c r="AR37" s="370"/>
      <c r="AS37" s="370"/>
      <c r="AT37" s="370"/>
      <c r="AU37" s="88"/>
      <c r="AV37" s="88"/>
      <c r="AW37" s="88"/>
      <c r="AX37" s="88"/>
      <c r="AY37" s="88"/>
      <c r="AZ37" s="111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113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5"/>
      <c r="DG37" s="5"/>
      <c r="DH37" s="5"/>
      <c r="DI37" s="5"/>
      <c r="DJ37" s="5"/>
      <c r="DK37" s="5"/>
      <c r="DL37" s="6"/>
    </row>
    <row r="38" spans="1:116" ht="17.25" customHeight="1" x14ac:dyDescent="0.25">
      <c r="AE38" s="111"/>
      <c r="AF38" s="378"/>
      <c r="AG38" s="378"/>
      <c r="AH38" s="365" t="s">
        <v>75</v>
      </c>
      <c r="AI38" s="362"/>
      <c r="AJ38" s="362"/>
      <c r="AK38" s="365" t="s">
        <v>76</v>
      </c>
      <c r="AL38" s="362"/>
      <c r="AM38" s="362"/>
      <c r="AN38" s="363" t="s">
        <v>77</v>
      </c>
      <c r="AO38" s="362"/>
      <c r="AP38" s="362"/>
      <c r="AQ38" s="361" t="s">
        <v>78</v>
      </c>
      <c r="AR38" s="362"/>
      <c r="AS38" s="362"/>
      <c r="AT38" s="362"/>
      <c r="AU38" s="88"/>
      <c r="AV38" s="88"/>
      <c r="AW38" s="88"/>
      <c r="AX38" s="88"/>
      <c r="AY38" s="88"/>
      <c r="AZ38" s="111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113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5"/>
      <c r="DG38" s="5"/>
      <c r="DH38" s="5"/>
      <c r="DI38" s="5"/>
      <c r="DJ38" s="5"/>
      <c r="DK38" s="5"/>
      <c r="DL38" s="6"/>
    </row>
    <row r="39" spans="1:116" ht="17.25" customHeight="1" thickBot="1" x14ac:dyDescent="0.3">
      <c r="AE39" s="111"/>
      <c r="AF39" s="358" t="s">
        <v>73</v>
      </c>
      <c r="AG39" s="358"/>
      <c r="AH39" s="362">
        <v>8170</v>
      </c>
      <c r="AI39" s="362"/>
      <c r="AJ39" s="362"/>
      <c r="AK39" s="362">
        <v>3830</v>
      </c>
      <c r="AL39" s="362"/>
      <c r="AM39" s="362"/>
      <c r="AN39" s="362">
        <v>20.399999999999999</v>
      </c>
      <c r="AO39" s="362"/>
      <c r="AP39" s="362"/>
      <c r="AQ39" s="362">
        <v>13</v>
      </c>
      <c r="AR39" s="362"/>
      <c r="AS39" s="362"/>
      <c r="AT39" s="362"/>
      <c r="AU39" s="88"/>
      <c r="AV39" s="88"/>
      <c r="AW39" s="88"/>
      <c r="AX39" s="88"/>
      <c r="AY39" s="88"/>
      <c r="AZ39" s="111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113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5"/>
      <c r="DG39" s="5"/>
      <c r="DH39" s="5"/>
      <c r="DI39" s="5"/>
      <c r="DJ39" s="5"/>
      <c r="DK39" s="5"/>
      <c r="DL39" s="6"/>
    </row>
    <row r="40" spans="1:116" ht="17.25" customHeight="1" x14ac:dyDescent="0.25">
      <c r="A40" s="2" t="s">
        <v>642</v>
      </c>
      <c r="B40" s="3"/>
      <c r="C40" s="3"/>
      <c r="D40" s="50" t="s">
        <v>641</v>
      </c>
      <c r="E40" s="330">
        <f>(8.5+(950*F35)/(F37+18))</f>
        <v>58.5</v>
      </c>
      <c r="F40" s="330"/>
      <c r="G40" s="331"/>
      <c r="AE40" s="111"/>
      <c r="AF40" s="358" t="s">
        <v>153</v>
      </c>
      <c r="AG40" s="358"/>
      <c r="AH40" s="366">
        <v>7547</v>
      </c>
      <c r="AI40" s="366"/>
      <c r="AJ40" s="366"/>
      <c r="AK40" s="366">
        <v>4453</v>
      </c>
      <c r="AL40" s="366"/>
      <c r="AM40" s="366"/>
      <c r="AN40" s="362">
        <v>18</v>
      </c>
      <c r="AO40" s="362"/>
      <c r="AP40" s="362"/>
      <c r="AQ40" s="364">
        <v>14.3</v>
      </c>
      <c r="AR40" s="364"/>
      <c r="AS40" s="364"/>
      <c r="AT40" s="364"/>
      <c r="AU40" s="88"/>
      <c r="AV40" s="88"/>
      <c r="AW40" s="88"/>
      <c r="AX40" s="88"/>
      <c r="AY40" s="88"/>
      <c r="AZ40" s="111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113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5"/>
      <c r="DG40" s="5"/>
      <c r="DH40" s="5"/>
      <c r="DI40" s="5"/>
      <c r="DJ40" s="5"/>
      <c r="DK40" s="5"/>
      <c r="DL40" s="6"/>
    </row>
    <row r="41" spans="1:116" ht="17.25" customHeight="1" thickBot="1" x14ac:dyDescent="0.3">
      <c r="A41" s="7" t="s">
        <v>643</v>
      </c>
      <c r="B41" s="8"/>
      <c r="C41" s="8"/>
      <c r="D41" s="51" t="s">
        <v>641</v>
      </c>
      <c r="E41" s="332">
        <f>(8.5+(950*F36)/(F37+18))</f>
        <v>58.5</v>
      </c>
      <c r="F41" s="332"/>
      <c r="G41" s="333"/>
      <c r="AE41" s="111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111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113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5"/>
      <c r="DG41" s="5"/>
      <c r="DH41" s="5"/>
      <c r="DI41" s="5"/>
      <c r="DJ41" s="5"/>
      <c r="DK41" s="5"/>
      <c r="DL41" s="6"/>
    </row>
    <row r="42" spans="1:116" ht="17.25" customHeight="1" x14ac:dyDescent="0.25">
      <c r="AE42" s="111"/>
      <c r="AF42" s="114"/>
      <c r="AG42" s="114"/>
      <c r="AH42" s="114"/>
      <c r="AI42" s="114"/>
      <c r="AJ42" s="348" t="s">
        <v>81</v>
      </c>
      <c r="AK42" s="348"/>
      <c r="AL42" s="348" t="s">
        <v>82</v>
      </c>
      <c r="AM42" s="348"/>
      <c r="AN42" s="348"/>
      <c r="AO42" s="348" t="s">
        <v>83</v>
      </c>
      <c r="AP42" s="348"/>
      <c r="AQ42" s="348"/>
      <c r="AR42" s="348" t="s">
        <v>84</v>
      </c>
      <c r="AS42" s="348"/>
      <c r="AT42" s="348"/>
      <c r="AU42" s="348" t="s">
        <v>85</v>
      </c>
      <c r="AV42" s="348"/>
      <c r="AW42" s="348"/>
      <c r="AX42" s="348"/>
      <c r="AY42" s="88"/>
      <c r="AZ42" s="111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113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5"/>
      <c r="DG42" s="5"/>
      <c r="DH42" s="5"/>
      <c r="DI42" s="5"/>
      <c r="DJ42" s="5"/>
      <c r="DK42" s="5"/>
      <c r="DL42" s="6"/>
    </row>
    <row r="43" spans="1:116" ht="17.25" customHeight="1" x14ac:dyDescent="0.25">
      <c r="AE43" s="111"/>
      <c r="AF43" s="359" t="s">
        <v>80</v>
      </c>
      <c r="AG43" s="359"/>
      <c r="AH43" s="359"/>
      <c r="AI43" s="360"/>
      <c r="AJ43" s="348"/>
      <c r="AK43" s="348"/>
      <c r="AL43" s="348"/>
      <c r="AM43" s="348"/>
      <c r="AN43" s="348"/>
      <c r="AO43" s="348"/>
      <c r="AP43" s="348"/>
      <c r="AQ43" s="348"/>
      <c r="AR43" s="348"/>
      <c r="AS43" s="348"/>
      <c r="AT43" s="348"/>
      <c r="AU43" s="348"/>
      <c r="AV43" s="348"/>
      <c r="AW43" s="348"/>
      <c r="AX43" s="348"/>
      <c r="AY43" s="88"/>
      <c r="AZ43" s="111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113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5"/>
      <c r="DG43" s="5"/>
      <c r="DH43" s="5"/>
      <c r="DI43" s="5"/>
      <c r="DJ43" s="5"/>
      <c r="DK43" s="5"/>
      <c r="DL43" s="6"/>
    </row>
    <row r="44" spans="1:116" ht="17.25" customHeight="1" x14ac:dyDescent="0.25">
      <c r="AE44" s="111"/>
      <c r="AF44" s="349" t="s">
        <v>86</v>
      </c>
      <c r="AG44" s="349"/>
      <c r="AH44" s="349"/>
      <c r="AI44" s="349"/>
      <c r="AJ44" s="349" t="s">
        <v>87</v>
      </c>
      <c r="AK44" s="349"/>
      <c r="AL44" s="349" t="s">
        <v>88</v>
      </c>
      <c r="AM44" s="349"/>
      <c r="AN44" s="349"/>
      <c r="AO44" s="349" t="s">
        <v>89</v>
      </c>
      <c r="AP44" s="349"/>
      <c r="AQ44" s="349"/>
      <c r="AR44" s="350" t="s">
        <v>90</v>
      </c>
      <c r="AS44" s="350"/>
      <c r="AT44" s="350"/>
      <c r="AU44" s="349" t="s">
        <v>91</v>
      </c>
      <c r="AV44" s="349"/>
      <c r="AW44" s="349"/>
      <c r="AX44" s="349"/>
      <c r="AY44" s="88"/>
      <c r="AZ44" s="111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113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5"/>
      <c r="DG44" s="5"/>
      <c r="DH44" s="5"/>
      <c r="DI44" s="5"/>
      <c r="DJ44" s="5"/>
      <c r="DK44" s="5"/>
      <c r="DL44" s="6"/>
    </row>
    <row r="45" spans="1:116" ht="17.25" customHeight="1" x14ac:dyDescent="0.25">
      <c r="AE45" s="111"/>
      <c r="AF45" s="349" t="s">
        <v>92</v>
      </c>
      <c r="AG45" s="349"/>
      <c r="AH45" s="349"/>
      <c r="AI45" s="349"/>
      <c r="AJ45" s="349" t="s">
        <v>93</v>
      </c>
      <c r="AK45" s="349"/>
      <c r="AL45" s="349" t="s">
        <v>94</v>
      </c>
      <c r="AM45" s="349"/>
      <c r="AN45" s="349"/>
      <c r="AO45" s="349" t="s">
        <v>95</v>
      </c>
      <c r="AP45" s="349"/>
      <c r="AQ45" s="349"/>
      <c r="AR45" s="350" t="s">
        <v>119</v>
      </c>
      <c r="AS45" s="350"/>
      <c r="AT45" s="350"/>
      <c r="AU45" s="349" t="s">
        <v>96</v>
      </c>
      <c r="AV45" s="349"/>
      <c r="AW45" s="349"/>
      <c r="AX45" s="349"/>
      <c r="AY45" s="88"/>
      <c r="AZ45" s="111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113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5"/>
      <c r="DG45" s="5"/>
      <c r="DH45" s="5"/>
      <c r="DI45" s="5"/>
      <c r="DJ45" s="5"/>
      <c r="DK45" s="5"/>
      <c r="DL45" s="6"/>
    </row>
    <row r="46" spans="1:116" ht="17.25" customHeight="1" x14ac:dyDescent="0.25">
      <c r="B46" s="191" t="s">
        <v>646</v>
      </c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AE46" s="111"/>
      <c r="AF46" s="349" t="s">
        <v>97</v>
      </c>
      <c r="AG46" s="349"/>
      <c r="AH46" s="349"/>
      <c r="AI46" s="349"/>
      <c r="AJ46" s="349" t="s">
        <v>98</v>
      </c>
      <c r="AK46" s="349"/>
      <c r="AL46" s="349" t="s">
        <v>99</v>
      </c>
      <c r="AM46" s="349"/>
      <c r="AN46" s="349"/>
      <c r="AO46" s="349" t="s">
        <v>100</v>
      </c>
      <c r="AP46" s="349"/>
      <c r="AQ46" s="349"/>
      <c r="AR46" s="350" t="s">
        <v>120</v>
      </c>
      <c r="AS46" s="350"/>
      <c r="AT46" s="350"/>
      <c r="AU46" s="349" t="s">
        <v>101</v>
      </c>
      <c r="AV46" s="349"/>
      <c r="AW46" s="349"/>
      <c r="AX46" s="349"/>
      <c r="AY46" s="88"/>
      <c r="AZ46" s="111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113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5"/>
      <c r="DG46" s="5"/>
      <c r="DH46" s="5"/>
      <c r="DI46" s="5"/>
      <c r="DJ46" s="5"/>
      <c r="DK46" s="5"/>
      <c r="DL46" s="6"/>
    </row>
    <row r="47" spans="1:116" ht="17.25" customHeight="1" thickBot="1" x14ac:dyDescent="0.3">
      <c r="AE47" s="111"/>
      <c r="AF47" s="349" t="s">
        <v>102</v>
      </c>
      <c r="AG47" s="349"/>
      <c r="AH47" s="349"/>
      <c r="AI47" s="349"/>
      <c r="AJ47" s="349" t="s">
        <v>103</v>
      </c>
      <c r="AK47" s="349"/>
      <c r="AL47" s="349" t="s">
        <v>104</v>
      </c>
      <c r="AM47" s="349"/>
      <c r="AN47" s="349"/>
      <c r="AO47" s="349" t="s">
        <v>105</v>
      </c>
      <c r="AP47" s="349"/>
      <c r="AQ47" s="349"/>
      <c r="AR47" s="350" t="s">
        <v>121</v>
      </c>
      <c r="AS47" s="350"/>
      <c r="AT47" s="350"/>
      <c r="AU47" s="349" t="s">
        <v>106</v>
      </c>
      <c r="AV47" s="349"/>
      <c r="AW47" s="349"/>
      <c r="AX47" s="349"/>
      <c r="AY47" s="88"/>
      <c r="AZ47" s="111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113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5"/>
      <c r="DG47" s="5"/>
      <c r="DH47" s="5"/>
      <c r="DI47" s="5"/>
      <c r="DJ47" s="5"/>
      <c r="DK47" s="5"/>
      <c r="DL47" s="6"/>
    </row>
    <row r="48" spans="1:116" ht="17.25" customHeight="1" x14ac:dyDescent="0.25">
      <c r="B48" s="2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2"/>
      <c r="AE48" s="111"/>
      <c r="AF48" s="349" t="s">
        <v>107</v>
      </c>
      <c r="AG48" s="349"/>
      <c r="AH48" s="349"/>
      <c r="AI48" s="349"/>
      <c r="AJ48" s="349" t="s">
        <v>108</v>
      </c>
      <c r="AK48" s="349"/>
      <c r="AL48" s="349" t="s">
        <v>109</v>
      </c>
      <c r="AM48" s="349"/>
      <c r="AN48" s="349"/>
      <c r="AO48" s="349" t="s">
        <v>110</v>
      </c>
      <c r="AP48" s="349"/>
      <c r="AQ48" s="349"/>
      <c r="AR48" s="350" t="s">
        <v>122</v>
      </c>
      <c r="AS48" s="350"/>
      <c r="AT48" s="350"/>
      <c r="AU48" s="349" t="s">
        <v>111</v>
      </c>
      <c r="AV48" s="349"/>
      <c r="AW48" s="349"/>
      <c r="AX48" s="349"/>
      <c r="AY48" s="88"/>
      <c r="AZ48" s="111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113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5"/>
      <c r="DG48" s="5"/>
      <c r="DH48" s="5"/>
      <c r="DI48" s="5"/>
      <c r="DJ48" s="5"/>
      <c r="DK48" s="5"/>
      <c r="DL48" s="6"/>
    </row>
    <row r="49" spans="2:116" ht="17.25" customHeight="1" x14ac:dyDescent="0.25">
      <c r="B49" s="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6"/>
      <c r="AE49" s="111"/>
      <c r="AF49" s="349" t="s">
        <v>112</v>
      </c>
      <c r="AG49" s="349"/>
      <c r="AH49" s="349"/>
      <c r="AI49" s="349"/>
      <c r="AJ49" s="349" t="s">
        <v>113</v>
      </c>
      <c r="AK49" s="349"/>
      <c r="AL49" s="349" t="s">
        <v>114</v>
      </c>
      <c r="AM49" s="349"/>
      <c r="AN49" s="349"/>
      <c r="AO49" s="349" t="s">
        <v>115</v>
      </c>
      <c r="AP49" s="349"/>
      <c r="AQ49" s="349"/>
      <c r="AR49" s="350" t="s">
        <v>116</v>
      </c>
      <c r="AS49" s="350"/>
      <c r="AT49" s="350"/>
      <c r="AU49" s="349" t="s">
        <v>117</v>
      </c>
      <c r="AV49" s="349"/>
      <c r="AW49" s="349"/>
      <c r="AX49" s="349"/>
      <c r="AY49" s="88"/>
      <c r="AZ49" s="111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113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5"/>
      <c r="DG49" s="5"/>
      <c r="DH49" s="5"/>
      <c r="DI49" s="5"/>
      <c r="DJ49" s="5"/>
      <c r="DK49" s="5"/>
      <c r="DL49" s="6"/>
    </row>
    <row r="50" spans="2:116" ht="17.25" customHeight="1" x14ac:dyDescent="0.25">
      <c r="B50" s="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6"/>
      <c r="AE50" s="111"/>
      <c r="AF50" s="349" t="s">
        <v>118</v>
      </c>
      <c r="AG50" s="349"/>
      <c r="AH50" s="349"/>
      <c r="AI50" s="349"/>
      <c r="AJ50" s="349">
        <v>550</v>
      </c>
      <c r="AK50" s="349"/>
      <c r="AL50" s="349">
        <v>72</v>
      </c>
      <c r="AM50" s="349"/>
      <c r="AN50" s="349"/>
      <c r="AO50" s="349">
        <v>12700</v>
      </c>
      <c r="AP50" s="349"/>
      <c r="AQ50" s="349"/>
      <c r="AR50" s="350">
        <v>7.3</v>
      </c>
      <c r="AS50" s="350"/>
      <c r="AT50" s="350"/>
      <c r="AU50" s="349">
        <v>47</v>
      </c>
      <c r="AV50" s="349"/>
      <c r="AW50" s="349"/>
      <c r="AX50" s="349"/>
      <c r="AY50" s="88"/>
      <c r="AZ50" s="111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113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5"/>
      <c r="DG50" s="5"/>
      <c r="DH50" s="5"/>
      <c r="DI50" s="5"/>
      <c r="DJ50" s="5"/>
      <c r="DK50" s="5"/>
      <c r="DL50" s="6"/>
    </row>
    <row r="51" spans="2:116" ht="17.25" customHeight="1" x14ac:dyDescent="0.25">
      <c r="B51" s="4"/>
      <c r="C51" s="5"/>
      <c r="D51" s="5"/>
      <c r="E51" s="5"/>
      <c r="F51" s="213">
        <f>3.16*SQRT((F12*F15)/(R32/1000*F17*2))</f>
        <v>670.33722856484712</v>
      </c>
      <c r="G51" s="213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6"/>
      <c r="AE51" s="111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88"/>
      <c r="AV51" s="88"/>
      <c r="AW51" s="88"/>
      <c r="AX51" s="88"/>
      <c r="AY51" s="88"/>
      <c r="AZ51" s="111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113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5"/>
      <c r="DG51" s="5"/>
      <c r="DH51" s="5"/>
      <c r="DI51" s="5"/>
      <c r="DJ51" s="5"/>
      <c r="DK51" s="5"/>
      <c r="DL51" s="6"/>
    </row>
    <row r="52" spans="2:116" ht="17.25" customHeight="1" x14ac:dyDescent="0.25">
      <c r="B52" s="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6"/>
      <c r="AE52" s="111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111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113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5"/>
      <c r="DG52" s="5"/>
      <c r="DH52" s="5"/>
      <c r="DI52" s="5"/>
      <c r="DJ52" s="5"/>
      <c r="DK52" s="5"/>
      <c r="DL52" s="6"/>
    </row>
    <row r="53" spans="2:116" ht="17.25" customHeight="1" x14ac:dyDescent="0.25">
      <c r="B53" s="4"/>
      <c r="C53" s="5"/>
      <c r="D53" s="5"/>
      <c r="E53" s="5"/>
      <c r="F53" s="213">
        <f>0.835*POWER((F11*F14/(R32/1000*F17)),1/3)</f>
        <v>517.92469901178413</v>
      </c>
      <c r="G53" s="213"/>
      <c r="H53" s="5"/>
      <c r="I53" s="5"/>
      <c r="J53" s="52" t="s">
        <v>644</v>
      </c>
      <c r="K53" s="179">
        <v>50</v>
      </c>
      <c r="L53" s="179"/>
      <c r="M53" s="179"/>
      <c r="N53" s="53" t="s">
        <v>639</v>
      </c>
      <c r="O53" s="54"/>
      <c r="P53" s="54"/>
      <c r="Q53" s="54"/>
      <c r="R53" s="54"/>
      <c r="S53" s="54"/>
      <c r="T53" s="5"/>
      <c r="U53" s="6"/>
      <c r="AE53" s="111"/>
      <c r="AF53" s="88"/>
      <c r="AG53" s="88"/>
      <c r="AH53" s="88"/>
      <c r="AI53" s="88"/>
      <c r="AJ53" s="88"/>
      <c r="AK53" s="88"/>
      <c r="AL53" s="88"/>
      <c r="AM53" s="88"/>
      <c r="AN53" s="88"/>
      <c r="AO53" s="116"/>
      <c r="AP53" s="116"/>
      <c r="AQ53" s="88"/>
      <c r="AR53" s="88"/>
      <c r="AS53" s="88"/>
      <c r="AT53" s="88"/>
      <c r="AU53" s="88"/>
      <c r="AV53" s="88"/>
      <c r="AW53" s="88"/>
      <c r="AX53" s="88"/>
      <c r="AY53" s="88"/>
      <c r="AZ53" s="111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113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5"/>
      <c r="DG53" s="5"/>
      <c r="DH53" s="5"/>
      <c r="DI53" s="5"/>
      <c r="DJ53" s="5"/>
      <c r="DK53" s="5"/>
      <c r="DL53" s="6"/>
    </row>
    <row r="54" spans="2:116" ht="17.25" customHeight="1" x14ac:dyDescent="0.25">
      <c r="B54" s="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6"/>
      <c r="AE54" s="111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111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113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5"/>
      <c r="DG54" s="5"/>
      <c r="DH54" s="5"/>
      <c r="DI54" s="5"/>
      <c r="DJ54" s="5"/>
      <c r="DK54" s="5"/>
      <c r="DL54" s="6"/>
    </row>
    <row r="55" spans="2:116" ht="17.25" customHeight="1" x14ac:dyDescent="0.25">
      <c r="B55" s="4"/>
      <c r="C55" s="5"/>
      <c r="D55" s="5"/>
      <c r="E55" s="5"/>
      <c r="F55" s="213">
        <f>(F13*F16/(0.9*R32/1000*F17*2))</f>
        <v>2564.1025641025644</v>
      </c>
      <c r="G55" s="213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6"/>
      <c r="AE55" s="111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111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113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5"/>
      <c r="DG55" s="5"/>
      <c r="DH55" s="5"/>
      <c r="DI55" s="5"/>
      <c r="DJ55" s="5"/>
      <c r="DK55" s="5"/>
      <c r="DL55" s="6"/>
    </row>
    <row r="56" spans="2:116" ht="17.25" customHeight="1" thickBot="1" x14ac:dyDescent="0.3">
      <c r="B56" s="7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31"/>
      <c r="AE56" s="111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90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7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5"/>
      <c r="DG56" s="5"/>
      <c r="DH56" s="5"/>
      <c r="DI56" s="5"/>
      <c r="DJ56" s="5"/>
      <c r="DK56" s="5"/>
      <c r="DL56" s="6"/>
    </row>
    <row r="57" spans="2:116" ht="17.25" customHeight="1" x14ac:dyDescent="0.25">
      <c r="AE57" s="111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115"/>
      <c r="BG57" s="115"/>
      <c r="BH57" s="115"/>
      <c r="BI57" s="115"/>
      <c r="BJ57" s="117"/>
      <c r="BK57" s="118"/>
      <c r="BL57" s="118"/>
      <c r="BM57" s="117"/>
      <c r="BN57" s="117"/>
      <c r="BO57" s="117"/>
      <c r="BP57" s="117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5"/>
      <c r="DG57" s="5"/>
      <c r="DH57" s="5"/>
      <c r="DI57" s="5"/>
      <c r="DJ57" s="5"/>
      <c r="DK57" s="5"/>
      <c r="DL57" s="6"/>
    </row>
    <row r="58" spans="2:116" ht="17.25" customHeight="1" thickBot="1" x14ac:dyDescent="0.3">
      <c r="AE58" s="111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115"/>
      <c r="BH58" s="115"/>
      <c r="BI58" s="115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5"/>
      <c r="DG58" s="5"/>
      <c r="DH58" s="5"/>
      <c r="DI58" s="5"/>
      <c r="DJ58" s="5"/>
      <c r="DK58" s="5"/>
      <c r="DL58" s="6"/>
    </row>
    <row r="59" spans="2:116" ht="17.25" customHeight="1" x14ac:dyDescent="0.25">
      <c r="B59" s="2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2"/>
      <c r="AE59" s="111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115"/>
      <c r="BG59" s="115"/>
      <c r="BH59" s="115"/>
      <c r="BI59" s="115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5"/>
      <c r="DG59" s="5"/>
      <c r="DH59" s="5"/>
      <c r="DI59" s="5"/>
      <c r="DJ59" s="5"/>
      <c r="DK59" s="5"/>
      <c r="DL59" s="6"/>
    </row>
    <row r="60" spans="2:116" ht="17.25" customHeight="1" x14ac:dyDescent="0.25">
      <c r="B60" s="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6"/>
      <c r="AE60" s="111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115"/>
      <c r="BG60" s="115"/>
      <c r="BH60" s="115"/>
      <c r="BI60" s="115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5"/>
      <c r="DG60" s="5"/>
      <c r="DH60" s="5"/>
      <c r="DI60" s="5"/>
      <c r="DJ60" s="5"/>
      <c r="DK60" s="5"/>
      <c r="DL60" s="6"/>
    </row>
    <row r="61" spans="2:116" ht="17.25" customHeight="1" x14ac:dyDescent="0.25">
      <c r="B61" s="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6"/>
      <c r="AE61" s="111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115"/>
      <c r="BG61" s="115"/>
      <c r="BH61" s="115"/>
      <c r="BI61" s="115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5"/>
      <c r="DG61" s="5"/>
      <c r="DH61" s="5"/>
      <c r="DI61" s="5"/>
      <c r="DJ61" s="5"/>
      <c r="DK61" s="5"/>
      <c r="DL61" s="6"/>
    </row>
    <row r="62" spans="2:116" ht="17.25" customHeight="1" thickBot="1" x14ac:dyDescent="0.3">
      <c r="B62" s="4"/>
      <c r="C62" s="5"/>
      <c r="D62" s="5"/>
      <c r="E62" s="5"/>
      <c r="F62" s="213">
        <f>3.16*SQRT((F19*F22)/(R32/1000*K53*10*2))</f>
        <v>1460.7105167264367</v>
      </c>
      <c r="G62" s="213"/>
      <c r="H62" s="213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6"/>
      <c r="AE62" s="90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119"/>
      <c r="BG62" s="119"/>
      <c r="BH62" s="119"/>
      <c r="BI62" s="119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8"/>
      <c r="DG62" s="8"/>
      <c r="DH62" s="8"/>
      <c r="DI62" s="8"/>
      <c r="DJ62" s="8"/>
      <c r="DK62" s="8"/>
      <c r="DL62" s="31"/>
    </row>
    <row r="63" spans="2:116" ht="17.25" customHeight="1" x14ac:dyDescent="0.25">
      <c r="B63" s="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6"/>
      <c r="AQ63" s="120"/>
      <c r="AR63" s="120"/>
      <c r="AS63" s="120"/>
      <c r="AT63" s="120"/>
      <c r="AU63" s="120"/>
      <c r="AV63" s="120"/>
      <c r="AW63" s="120"/>
      <c r="AX63" s="120"/>
      <c r="AY63" s="120"/>
      <c r="AZ63" s="120"/>
      <c r="BA63" s="120"/>
      <c r="BB63" s="120"/>
      <c r="BC63" s="120"/>
      <c r="BD63" s="120"/>
      <c r="BE63" s="120"/>
      <c r="BF63" s="120"/>
      <c r="BG63" s="120"/>
      <c r="BH63" s="120"/>
      <c r="BI63" s="120"/>
    </row>
    <row r="64" spans="2:116" ht="17.25" customHeight="1" x14ac:dyDescent="0.25">
      <c r="B64" s="4"/>
      <c r="C64" s="5"/>
      <c r="D64" s="5"/>
      <c r="E64" s="5"/>
      <c r="F64" s="213">
        <f>0.835*POWER((F18*F21/(R32/1000*K53*10)),1/3)</f>
        <v>1584.8488555251147</v>
      </c>
      <c r="G64" s="213"/>
      <c r="H64" s="5"/>
      <c r="I64" s="5"/>
      <c r="J64" s="52" t="s">
        <v>645</v>
      </c>
      <c r="K64" s="179">
        <v>120</v>
      </c>
      <c r="L64" s="179"/>
      <c r="M64" s="179"/>
      <c r="N64" s="53" t="s">
        <v>640</v>
      </c>
      <c r="O64" s="54"/>
      <c r="P64" s="54"/>
      <c r="Q64" s="54"/>
      <c r="R64" s="5"/>
      <c r="S64" s="5"/>
      <c r="T64" s="5"/>
      <c r="U64" s="6"/>
    </row>
    <row r="65" spans="2:52" ht="17.25" customHeight="1" thickBot="1" x14ac:dyDescent="0.3">
      <c r="B65" s="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6"/>
    </row>
    <row r="66" spans="2:52" ht="17.25" customHeight="1" x14ac:dyDescent="0.25">
      <c r="B66" s="4"/>
      <c r="C66" s="5"/>
      <c r="D66" s="5"/>
      <c r="E66" s="5"/>
      <c r="F66" s="213">
        <f>(F20*F23/(0.9*R32/1000*K53*10*2))</f>
        <v>2564.1025641025644</v>
      </c>
      <c r="G66" s="213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6"/>
      <c r="AF66" s="345" t="s">
        <v>156</v>
      </c>
      <c r="AG66" s="346"/>
      <c r="AH66" s="346"/>
      <c r="AI66" s="346"/>
      <c r="AJ66" s="346"/>
      <c r="AK66" s="346"/>
      <c r="AL66" s="346"/>
      <c r="AM66" s="346"/>
      <c r="AN66" s="346"/>
      <c r="AO66" s="346"/>
      <c r="AP66" s="346"/>
      <c r="AQ66" s="346"/>
      <c r="AR66" s="346"/>
      <c r="AS66" s="346"/>
      <c r="AT66" s="346"/>
      <c r="AU66" s="346"/>
      <c r="AV66" s="346"/>
      <c r="AW66" s="346"/>
      <c r="AX66" s="346"/>
      <c r="AY66" s="346"/>
      <c r="AZ66" s="347"/>
    </row>
    <row r="67" spans="2:52" ht="17.25" customHeight="1" thickBot="1" x14ac:dyDescent="0.3">
      <c r="B67" s="7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31"/>
      <c r="AF67" s="121"/>
      <c r="AG67" s="115"/>
      <c r="AH67" s="122"/>
      <c r="AI67" s="122"/>
      <c r="AJ67" s="122"/>
      <c r="AK67" s="115"/>
      <c r="AL67" s="123"/>
      <c r="AM67" s="115"/>
      <c r="AN67" s="123"/>
      <c r="AO67" s="115"/>
      <c r="AP67" s="123"/>
      <c r="AQ67" s="115"/>
      <c r="AR67" s="88"/>
      <c r="AS67" s="88"/>
      <c r="AT67" s="88"/>
      <c r="AU67" s="88"/>
      <c r="AV67" s="88"/>
      <c r="AW67" s="88"/>
      <c r="AX67" s="88"/>
      <c r="AY67" s="88"/>
      <c r="AZ67" s="113"/>
    </row>
    <row r="68" spans="2:52" ht="17.25" customHeight="1" x14ac:dyDescent="0.25">
      <c r="AF68" s="121"/>
      <c r="AG68" s="115"/>
      <c r="AH68" s="122"/>
      <c r="AI68" s="122"/>
      <c r="AJ68" s="122"/>
      <c r="AK68" s="115"/>
      <c r="AL68" s="123"/>
      <c r="AM68" s="115"/>
      <c r="AN68" s="123"/>
      <c r="AO68" s="115"/>
      <c r="AP68" s="123"/>
      <c r="AQ68" s="115"/>
      <c r="AR68" s="88"/>
      <c r="AS68" s="88"/>
      <c r="AT68" s="88"/>
      <c r="AU68" s="88"/>
      <c r="AV68" s="88"/>
      <c r="AW68" s="88"/>
      <c r="AX68" s="88"/>
      <c r="AY68" s="88"/>
      <c r="AZ68" s="113"/>
    </row>
    <row r="69" spans="2:52" ht="17.25" customHeight="1" thickBot="1" x14ac:dyDescent="0.3">
      <c r="AF69" s="121"/>
      <c r="AG69" s="115"/>
      <c r="AH69" s="115"/>
      <c r="AI69" s="115"/>
      <c r="AJ69" s="115"/>
      <c r="AK69" s="115"/>
      <c r="AL69" s="124"/>
      <c r="AM69" s="115"/>
      <c r="AN69" s="124"/>
      <c r="AO69" s="115"/>
      <c r="AP69" s="124"/>
      <c r="AQ69" s="115"/>
      <c r="AR69" s="88"/>
      <c r="AS69" s="88"/>
      <c r="AT69" s="88"/>
      <c r="AU69" s="88"/>
      <c r="AV69" s="88"/>
      <c r="AW69" s="88"/>
      <c r="AX69" s="88"/>
      <c r="AY69" s="88"/>
      <c r="AZ69" s="113"/>
    </row>
    <row r="70" spans="2:52" ht="17.25" customHeight="1" x14ac:dyDescent="0.25"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2"/>
      <c r="AF70" s="121"/>
      <c r="AG70" s="125"/>
      <c r="AH70" s="115"/>
      <c r="AI70" s="115"/>
      <c r="AJ70" s="115"/>
      <c r="AK70" s="115"/>
      <c r="AL70" s="115"/>
      <c r="AM70" s="115"/>
      <c r="AN70" s="115"/>
      <c r="AO70" s="124"/>
      <c r="AP70" s="126"/>
      <c r="AQ70" s="115"/>
      <c r="AR70" s="88"/>
      <c r="AS70" s="88"/>
      <c r="AT70" s="88"/>
      <c r="AU70" s="88"/>
      <c r="AV70" s="88"/>
      <c r="AW70" s="88"/>
      <c r="AX70" s="88"/>
      <c r="AY70" s="88"/>
      <c r="AZ70" s="113"/>
    </row>
    <row r="71" spans="2:52" ht="17.25" customHeight="1" x14ac:dyDescent="0.25">
      <c r="B71" s="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6"/>
      <c r="AF71" s="121"/>
      <c r="AG71" s="125"/>
      <c r="AH71" s="115"/>
      <c r="AI71" s="115"/>
      <c r="AJ71" s="115"/>
      <c r="AK71" s="115"/>
      <c r="AL71" s="115"/>
      <c r="AM71" s="115"/>
      <c r="AN71" s="115"/>
      <c r="AO71" s="124"/>
      <c r="AP71" s="126"/>
      <c r="AQ71" s="115"/>
      <c r="AR71" s="88"/>
      <c r="AS71" s="88"/>
      <c r="AT71" s="88"/>
      <c r="AU71" s="88"/>
      <c r="AV71" s="88"/>
      <c r="AW71" s="88"/>
      <c r="AX71" s="88"/>
      <c r="AY71" s="88"/>
      <c r="AZ71" s="113"/>
    </row>
    <row r="72" spans="2:52" ht="17.25" customHeight="1" x14ac:dyDescent="0.25">
      <c r="B72" s="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6"/>
      <c r="AF72" s="121"/>
      <c r="AG72" s="125"/>
      <c r="AH72" s="115"/>
      <c r="AI72" s="115"/>
      <c r="AJ72" s="115"/>
      <c r="AK72" s="115"/>
      <c r="AL72" s="115"/>
      <c r="AM72" s="115"/>
      <c r="AN72" s="115"/>
      <c r="AO72" s="124"/>
      <c r="AP72" s="126"/>
      <c r="AQ72" s="115"/>
      <c r="AR72" s="88"/>
      <c r="AS72" s="88"/>
      <c r="AT72" s="88"/>
      <c r="AU72" s="88"/>
      <c r="AV72" s="88"/>
      <c r="AW72" s="88"/>
      <c r="AX72" s="88"/>
      <c r="AY72" s="88"/>
      <c r="AZ72" s="113"/>
    </row>
    <row r="73" spans="2:52" ht="17.25" customHeight="1" x14ac:dyDescent="0.25">
      <c r="B73" s="4"/>
      <c r="C73" s="5"/>
      <c r="D73" s="5"/>
      <c r="E73" s="5"/>
      <c r="F73" s="213">
        <f>3.16*SQRT((F26*F29)/((P10*R29+R31)/1000*K64*10*2))</f>
        <v>1028.9284758000088</v>
      </c>
      <c r="G73" s="213"/>
      <c r="H73" s="213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6"/>
      <c r="AF73" s="121"/>
      <c r="AG73" s="125"/>
      <c r="AH73" s="115"/>
      <c r="AI73" s="115"/>
      <c r="AJ73" s="115"/>
      <c r="AK73" s="115"/>
      <c r="AL73" s="115"/>
      <c r="AM73" s="115"/>
      <c r="AN73" s="115"/>
      <c r="AO73" s="124"/>
      <c r="AP73" s="126"/>
      <c r="AQ73" s="115"/>
      <c r="AR73" s="88"/>
      <c r="AS73" s="88"/>
      <c r="AT73" s="88"/>
      <c r="AU73" s="88"/>
      <c r="AV73" s="88"/>
      <c r="AW73" s="88"/>
      <c r="AX73" s="88"/>
      <c r="AY73" s="88"/>
      <c r="AZ73" s="113"/>
    </row>
    <row r="74" spans="2:52" ht="17.25" customHeight="1" x14ac:dyDescent="0.25">
      <c r="B74" s="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6"/>
      <c r="AF74" s="121"/>
      <c r="AG74" s="125"/>
      <c r="AH74" s="115"/>
      <c r="AI74" s="115"/>
      <c r="AJ74" s="115"/>
      <c r="AK74" s="115"/>
      <c r="AL74" s="115"/>
      <c r="AM74" s="115"/>
      <c r="AN74" s="115"/>
      <c r="AO74" s="124"/>
      <c r="AP74" s="126"/>
      <c r="AQ74" s="115"/>
      <c r="AR74" s="88"/>
      <c r="AS74" s="88"/>
      <c r="AT74" s="88"/>
      <c r="AU74" s="88"/>
      <c r="AV74" s="88"/>
      <c r="AW74" s="88"/>
      <c r="AX74" s="88"/>
      <c r="AY74" s="88"/>
      <c r="AZ74" s="113"/>
    </row>
    <row r="75" spans="2:52" ht="17.25" customHeight="1" x14ac:dyDescent="0.25">
      <c r="B75" s="4"/>
      <c r="C75" s="5"/>
      <c r="D75" s="5"/>
      <c r="E75" s="5"/>
      <c r="F75" s="213">
        <f>0.835*POWER((F25*F28/((P10*R29+R31)/1000*K64*10)),1/3)</f>
        <v>1254.6864395350922</v>
      </c>
      <c r="G75" s="213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6"/>
      <c r="AF75" s="121"/>
      <c r="AG75" s="125"/>
      <c r="AH75" s="115"/>
      <c r="AI75" s="115"/>
      <c r="AJ75" s="115"/>
      <c r="AK75" s="115"/>
      <c r="AL75" s="115"/>
      <c r="AM75" s="124"/>
      <c r="AN75" s="125"/>
      <c r="AO75" s="115"/>
      <c r="AP75" s="126"/>
      <c r="AQ75" s="115"/>
      <c r="AR75" s="88"/>
      <c r="AS75" s="88"/>
      <c r="AT75" s="88"/>
      <c r="AU75" s="88"/>
      <c r="AV75" s="88"/>
      <c r="AW75" s="88"/>
      <c r="AX75" s="88"/>
      <c r="AY75" s="88"/>
      <c r="AZ75" s="113"/>
    </row>
    <row r="76" spans="2:52" ht="17.25" customHeight="1" x14ac:dyDescent="0.25">
      <c r="B76" s="4"/>
      <c r="C76" s="5"/>
      <c r="D76" s="5"/>
      <c r="E76" s="5"/>
      <c r="F76" s="5"/>
      <c r="G76" s="5"/>
      <c r="H76" s="5"/>
      <c r="I76" s="5"/>
      <c r="J76" s="52" t="s">
        <v>650</v>
      </c>
      <c r="K76" s="179">
        <v>100</v>
      </c>
      <c r="L76" s="179"/>
      <c r="M76" s="179"/>
      <c r="N76" s="53" t="s">
        <v>649</v>
      </c>
      <c r="O76" s="5"/>
      <c r="P76" s="5"/>
      <c r="Q76" s="5"/>
      <c r="R76" s="5"/>
      <c r="S76" s="5"/>
      <c r="T76" s="5"/>
      <c r="U76" s="6"/>
      <c r="AF76" s="121"/>
      <c r="AG76" s="125"/>
      <c r="AH76" s="115"/>
      <c r="AI76" s="115"/>
      <c r="AJ76" s="115"/>
      <c r="AK76" s="115"/>
      <c r="AL76" s="115"/>
      <c r="AM76" s="124"/>
      <c r="AN76" s="125"/>
      <c r="AO76" s="115"/>
      <c r="AP76" s="126"/>
      <c r="AQ76" s="115"/>
      <c r="AR76" s="88"/>
      <c r="AS76" s="88"/>
      <c r="AT76" s="88"/>
      <c r="AU76" s="88"/>
      <c r="AV76" s="88"/>
      <c r="AW76" s="88"/>
      <c r="AX76" s="88"/>
      <c r="AY76" s="88"/>
      <c r="AZ76" s="113"/>
    </row>
    <row r="77" spans="2:52" ht="17.25" customHeight="1" x14ac:dyDescent="0.25">
      <c r="B77" s="4"/>
      <c r="C77" s="5"/>
      <c r="D77" s="5"/>
      <c r="E77" s="5"/>
      <c r="F77" s="213">
        <f>(F27*F30/(0.9*(P10*R29+R31)/1000*K64*10*2))</f>
        <v>1272.2646310432572</v>
      </c>
      <c r="G77" s="213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6"/>
      <c r="AF77" s="121"/>
      <c r="AG77" s="125"/>
      <c r="AH77" s="115"/>
      <c r="AI77" s="115"/>
      <c r="AJ77" s="115"/>
      <c r="AK77" s="115"/>
      <c r="AL77" s="115"/>
      <c r="AM77" s="124"/>
      <c r="AN77" s="125"/>
      <c r="AO77" s="115"/>
      <c r="AP77" s="126"/>
      <c r="AQ77" s="115"/>
      <c r="AR77" s="88"/>
      <c r="AS77" s="88"/>
      <c r="AT77" s="88"/>
      <c r="AU77" s="88"/>
      <c r="AV77" s="88"/>
      <c r="AW77" s="88"/>
      <c r="AX77" s="88"/>
      <c r="AY77" s="88"/>
      <c r="AZ77" s="113"/>
    </row>
    <row r="78" spans="2:52" ht="17.25" customHeight="1" x14ac:dyDescent="0.25">
      <c r="B78" s="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6"/>
      <c r="AF78" s="121"/>
      <c r="AG78" s="125"/>
      <c r="AH78" s="115"/>
      <c r="AI78" s="115"/>
      <c r="AJ78" s="115"/>
      <c r="AK78" s="115"/>
      <c r="AL78" s="115"/>
      <c r="AM78" s="124"/>
      <c r="AN78" s="125"/>
      <c r="AO78" s="115"/>
      <c r="AP78" s="126"/>
      <c r="AQ78" s="115"/>
      <c r="AR78" s="88"/>
      <c r="AS78" s="88"/>
      <c r="AT78" s="88"/>
      <c r="AU78" s="88"/>
      <c r="AV78" s="88"/>
      <c r="AW78" s="88"/>
      <c r="AX78" s="88"/>
      <c r="AY78" s="88"/>
      <c r="AZ78" s="113"/>
    </row>
    <row r="79" spans="2:52" ht="17.25" customHeight="1" x14ac:dyDescent="0.25">
      <c r="B79" s="4"/>
      <c r="C79" s="5"/>
      <c r="D79" s="5"/>
      <c r="E79" s="5"/>
      <c r="F79" s="213">
        <f>U9/(1.1*(P10*R29+R31)*K64/100)*1000</f>
        <v>1156.6042100393242</v>
      </c>
      <c r="G79" s="213"/>
      <c r="H79" s="62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6"/>
      <c r="AF79" s="121"/>
      <c r="AG79" s="125"/>
      <c r="AH79" s="115"/>
      <c r="AI79" s="115"/>
      <c r="AJ79" s="115"/>
      <c r="AK79" s="115"/>
      <c r="AL79" s="115"/>
      <c r="AM79" s="124"/>
      <c r="AN79" s="125"/>
      <c r="AO79" s="115"/>
      <c r="AP79" s="126"/>
      <c r="AQ79" s="115"/>
      <c r="AR79" s="88"/>
      <c r="AS79" s="88"/>
      <c r="AT79" s="88"/>
      <c r="AU79" s="88"/>
      <c r="AV79" s="88"/>
      <c r="AW79" s="88"/>
      <c r="AX79" s="88"/>
      <c r="AY79" s="88"/>
      <c r="AZ79" s="113"/>
    </row>
    <row r="80" spans="2:52" ht="17.25" customHeight="1" thickBot="1" x14ac:dyDescent="0.3">
      <c r="B80" s="7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31"/>
      <c r="AF80" s="121"/>
      <c r="AG80" s="125"/>
      <c r="AH80" s="115"/>
      <c r="AI80" s="115"/>
      <c r="AJ80" s="115"/>
      <c r="AK80" s="124"/>
      <c r="AL80" s="126"/>
      <c r="AM80" s="115"/>
      <c r="AN80" s="125"/>
      <c r="AO80" s="115"/>
      <c r="AP80" s="126"/>
      <c r="AQ80" s="115"/>
      <c r="AR80" s="88"/>
      <c r="AS80" s="88"/>
      <c r="AT80" s="88"/>
      <c r="AU80" s="88"/>
      <c r="AV80" s="88"/>
      <c r="AW80" s="88"/>
      <c r="AX80" s="88"/>
      <c r="AY80" s="88"/>
      <c r="AZ80" s="113"/>
    </row>
    <row r="81" spans="2:52" ht="17.25" customHeight="1" x14ac:dyDescent="0.25">
      <c r="AF81" s="121"/>
      <c r="AG81" s="125"/>
      <c r="AH81" s="115"/>
      <c r="AI81" s="115"/>
      <c r="AJ81" s="115"/>
      <c r="AK81" s="124"/>
      <c r="AL81" s="126"/>
      <c r="AM81" s="115"/>
      <c r="AN81" s="125"/>
      <c r="AO81" s="115"/>
      <c r="AP81" s="126"/>
      <c r="AQ81" s="115"/>
      <c r="AR81" s="88"/>
      <c r="AS81" s="88"/>
      <c r="AT81" s="88"/>
      <c r="AU81" s="88"/>
      <c r="AV81" s="88"/>
      <c r="AW81" s="88"/>
      <c r="AX81" s="88"/>
      <c r="AY81" s="88"/>
      <c r="AZ81" s="113"/>
    </row>
    <row r="82" spans="2:52" ht="17.25" customHeight="1" x14ac:dyDescent="0.25">
      <c r="AF82" s="121"/>
      <c r="AG82" s="125"/>
      <c r="AH82" s="115"/>
      <c r="AI82" s="115"/>
      <c r="AJ82" s="115"/>
      <c r="AK82" s="124"/>
      <c r="AL82" s="126"/>
      <c r="AM82" s="115"/>
      <c r="AN82" s="125"/>
      <c r="AO82" s="115"/>
      <c r="AP82" s="126"/>
      <c r="AQ82" s="115"/>
      <c r="AR82" s="88"/>
      <c r="AS82" s="88"/>
      <c r="AT82" s="88"/>
      <c r="AU82" s="88"/>
      <c r="AV82" s="88"/>
      <c r="AW82" s="88"/>
      <c r="AX82" s="88"/>
      <c r="AY82" s="88"/>
      <c r="AZ82" s="113"/>
    </row>
    <row r="83" spans="2:52" ht="17.25" customHeight="1" x14ac:dyDescent="0.25">
      <c r="AF83" s="121"/>
      <c r="AG83" s="125"/>
      <c r="AH83" s="115"/>
      <c r="AI83" s="115"/>
      <c r="AJ83" s="115"/>
      <c r="AK83" s="124"/>
      <c r="AL83" s="126"/>
      <c r="AM83" s="115"/>
      <c r="AN83" s="125"/>
      <c r="AO83" s="115"/>
      <c r="AP83" s="126"/>
      <c r="AQ83" s="115"/>
      <c r="AR83" s="88"/>
      <c r="AS83" s="88"/>
      <c r="AT83" s="88"/>
      <c r="AU83" s="88"/>
      <c r="AV83" s="88"/>
      <c r="AW83" s="88"/>
      <c r="AX83" s="88"/>
      <c r="AY83" s="88"/>
      <c r="AZ83" s="113"/>
    </row>
    <row r="84" spans="2:52" ht="17.25" customHeight="1" x14ac:dyDescent="0.25">
      <c r="AF84" s="121"/>
      <c r="AG84" s="125"/>
      <c r="AH84" s="115"/>
      <c r="AI84" s="115"/>
      <c r="AJ84" s="115"/>
      <c r="AK84" s="124"/>
      <c r="AL84" s="126"/>
      <c r="AM84" s="115"/>
      <c r="AN84" s="125"/>
      <c r="AO84" s="115"/>
      <c r="AP84" s="126"/>
      <c r="AQ84" s="115"/>
      <c r="AR84" s="88"/>
      <c r="AS84" s="88"/>
      <c r="AT84" s="88"/>
      <c r="AU84" s="88"/>
      <c r="AV84" s="88"/>
      <c r="AW84" s="88"/>
      <c r="AX84" s="88"/>
      <c r="AY84" s="88"/>
      <c r="AZ84" s="113"/>
    </row>
    <row r="85" spans="2:52" ht="17.25" customHeight="1" x14ac:dyDescent="0.25">
      <c r="AF85" s="127"/>
      <c r="AG85" s="128"/>
      <c r="AH85" s="128"/>
      <c r="AI85" s="128"/>
      <c r="AJ85" s="128"/>
      <c r="AK85" s="115"/>
      <c r="AL85" s="126"/>
      <c r="AM85" s="115"/>
      <c r="AN85" s="125"/>
      <c r="AO85" s="115"/>
      <c r="AP85" s="126"/>
      <c r="AQ85" s="115"/>
      <c r="AR85" s="88"/>
      <c r="AS85" s="88"/>
      <c r="AT85" s="88"/>
      <c r="AU85" s="88"/>
      <c r="AV85" s="88"/>
      <c r="AW85" s="88"/>
      <c r="AX85" s="88"/>
      <c r="AY85" s="88"/>
      <c r="AZ85" s="113"/>
    </row>
    <row r="86" spans="2:52" ht="17.25" customHeight="1" x14ac:dyDescent="0.25">
      <c r="AF86" s="127"/>
      <c r="AG86" s="128"/>
      <c r="AH86" s="128"/>
      <c r="AI86" s="128"/>
      <c r="AJ86" s="128"/>
      <c r="AK86" s="115"/>
      <c r="AL86" s="126"/>
      <c r="AM86" s="115"/>
      <c r="AN86" s="125"/>
      <c r="AO86" s="115"/>
      <c r="AP86" s="126"/>
      <c r="AQ86" s="115"/>
      <c r="AR86" s="88"/>
      <c r="AS86" s="88"/>
      <c r="AT86" s="88"/>
      <c r="AU86" s="88"/>
      <c r="AV86" s="88"/>
      <c r="AW86" s="88"/>
      <c r="AX86" s="88"/>
      <c r="AY86" s="88"/>
      <c r="AZ86" s="113"/>
    </row>
    <row r="87" spans="2:52" ht="17.25" customHeight="1" x14ac:dyDescent="0.25">
      <c r="AF87" s="127"/>
      <c r="AG87" s="128"/>
      <c r="AH87" s="128"/>
      <c r="AI87" s="128"/>
      <c r="AJ87" s="128"/>
      <c r="AK87" s="115"/>
      <c r="AL87" s="126"/>
      <c r="AM87" s="115"/>
      <c r="AN87" s="125"/>
      <c r="AO87" s="115"/>
      <c r="AP87" s="126"/>
      <c r="AQ87" s="115"/>
      <c r="AR87" s="88"/>
      <c r="AS87" s="88"/>
      <c r="AT87" s="88"/>
      <c r="AU87" s="88"/>
      <c r="AV87" s="88"/>
      <c r="AW87" s="88"/>
      <c r="AX87" s="88"/>
      <c r="AY87" s="88"/>
      <c r="AZ87" s="113"/>
    </row>
    <row r="88" spans="2:52" ht="17.25" customHeight="1" x14ac:dyDescent="0.25">
      <c r="AF88" s="127"/>
      <c r="AG88" s="128"/>
      <c r="AH88" s="128"/>
      <c r="AI88" s="128"/>
      <c r="AJ88" s="128"/>
      <c r="AK88" s="115"/>
      <c r="AL88" s="126"/>
      <c r="AM88" s="115"/>
      <c r="AN88" s="125"/>
      <c r="AO88" s="115"/>
      <c r="AP88" s="126"/>
      <c r="AQ88" s="115"/>
      <c r="AR88" s="88"/>
      <c r="AS88" s="88"/>
      <c r="AT88" s="88"/>
      <c r="AU88" s="88"/>
      <c r="AV88" s="88"/>
      <c r="AW88" s="88"/>
      <c r="AX88" s="88"/>
      <c r="AY88" s="88"/>
      <c r="AZ88" s="113"/>
    </row>
    <row r="89" spans="2:52" ht="17.25" customHeight="1" x14ac:dyDescent="0.25">
      <c r="AF89" s="127"/>
      <c r="AG89" s="128"/>
      <c r="AH89" s="128"/>
      <c r="AI89" s="128"/>
      <c r="AJ89" s="128"/>
      <c r="AK89" s="115"/>
      <c r="AL89" s="126"/>
      <c r="AM89" s="115"/>
      <c r="AN89" s="125"/>
      <c r="AO89" s="115"/>
      <c r="AP89" s="124"/>
      <c r="AQ89" s="115"/>
      <c r="AR89" s="88"/>
      <c r="AS89" s="88"/>
      <c r="AT89" s="88"/>
      <c r="AU89" s="88"/>
      <c r="AV89" s="88"/>
      <c r="AW89" s="88"/>
      <c r="AX89" s="88"/>
      <c r="AY89" s="88"/>
      <c r="AZ89" s="113"/>
    </row>
    <row r="90" spans="2:52" ht="17.25" customHeight="1" x14ac:dyDescent="0.25">
      <c r="AF90" s="127"/>
      <c r="AG90" s="128"/>
      <c r="AH90" s="128"/>
      <c r="AI90" s="128"/>
      <c r="AJ90" s="128"/>
      <c r="AK90" s="115"/>
      <c r="AL90" s="126"/>
      <c r="AM90" s="115"/>
      <c r="AN90" s="125"/>
      <c r="AO90" s="115"/>
      <c r="AP90" s="124"/>
      <c r="AQ90" s="115"/>
      <c r="AR90" s="88"/>
      <c r="AS90" s="88"/>
      <c r="AT90" s="88"/>
      <c r="AU90" s="88"/>
      <c r="AV90" s="88"/>
      <c r="AW90" s="88"/>
      <c r="AX90" s="88"/>
      <c r="AY90" s="88"/>
      <c r="AZ90" s="113"/>
    </row>
    <row r="91" spans="2:52" ht="17.25" customHeight="1" x14ac:dyDescent="0.25">
      <c r="B91" s="191" t="s">
        <v>651</v>
      </c>
      <c r="C91" s="191"/>
      <c r="D91" s="191"/>
      <c r="E91" s="191"/>
      <c r="F91" s="191"/>
      <c r="G91" s="191"/>
      <c r="H91" s="191"/>
      <c r="I91" s="191"/>
      <c r="J91" s="191"/>
      <c r="K91" s="191"/>
      <c r="L91" s="191"/>
      <c r="M91" s="191"/>
      <c r="N91" s="191"/>
      <c r="O91" s="191"/>
      <c r="P91" s="191"/>
      <c r="Q91" s="191"/>
      <c r="R91" s="191"/>
      <c r="S91" s="191"/>
      <c r="T91" s="191"/>
      <c r="U91" s="191"/>
      <c r="V91" s="191"/>
      <c r="W91" s="191"/>
      <c r="AF91" s="127"/>
      <c r="AG91" s="128"/>
      <c r="AH91" s="128"/>
      <c r="AI91" s="128"/>
      <c r="AJ91" s="128"/>
      <c r="AK91" s="115"/>
      <c r="AL91" s="126"/>
      <c r="AM91" s="115"/>
      <c r="AN91" s="125"/>
      <c r="AO91" s="115"/>
      <c r="AP91" s="124"/>
      <c r="AQ91" s="115"/>
      <c r="AR91" s="88"/>
      <c r="AS91" s="88"/>
      <c r="AT91" s="88"/>
      <c r="AU91" s="88"/>
      <c r="AV91" s="88"/>
      <c r="AW91" s="88"/>
      <c r="AX91" s="88"/>
      <c r="AY91" s="88"/>
      <c r="AZ91" s="113"/>
    </row>
    <row r="92" spans="2:52" ht="17.25" customHeight="1" thickBot="1" x14ac:dyDescent="0.3">
      <c r="AF92" s="127"/>
      <c r="AG92" s="128"/>
      <c r="AH92" s="128"/>
      <c r="AI92" s="128"/>
      <c r="AJ92" s="128"/>
      <c r="AK92" s="115"/>
      <c r="AL92" s="126"/>
      <c r="AM92" s="115"/>
      <c r="AN92" s="125"/>
      <c r="AO92" s="115"/>
      <c r="AP92" s="124"/>
      <c r="AQ92" s="115"/>
      <c r="AR92" s="88"/>
      <c r="AS92" s="88"/>
      <c r="AT92" s="88"/>
      <c r="AU92" s="88"/>
      <c r="AV92" s="88"/>
      <c r="AW92" s="88"/>
      <c r="AX92" s="88"/>
      <c r="AY92" s="88"/>
      <c r="AZ92" s="113"/>
    </row>
    <row r="93" spans="2:52" ht="17.25" customHeight="1" x14ac:dyDescent="0.25">
      <c r="C93" s="232" t="s">
        <v>12</v>
      </c>
      <c r="D93" s="233"/>
      <c r="E93" s="205" t="s">
        <v>18</v>
      </c>
      <c r="F93" s="205"/>
      <c r="G93" s="211">
        <f>INDEX($AF$22:$AR$33,MATCH($U$97,$AF$22:$AF$33,0),9)*1000</f>
        <v>6400</v>
      </c>
      <c r="H93" s="211"/>
      <c r="I93" s="212"/>
      <c r="R93" s="321" t="s">
        <v>652</v>
      </c>
      <c r="S93" s="322"/>
      <c r="T93" s="322"/>
      <c r="U93" s="323"/>
      <c r="AF93" s="127"/>
      <c r="AG93" s="128"/>
      <c r="AH93" s="128"/>
      <c r="AI93" s="128"/>
      <c r="AJ93" s="128"/>
      <c r="AK93" s="115"/>
      <c r="AL93" s="126"/>
      <c r="AM93" s="115"/>
      <c r="AN93" s="124"/>
      <c r="AO93" s="115"/>
      <c r="AP93" s="124"/>
      <c r="AQ93" s="115"/>
      <c r="AR93" s="88"/>
      <c r="AS93" s="88"/>
      <c r="AT93" s="88"/>
      <c r="AU93" s="88"/>
      <c r="AV93" s="88"/>
      <c r="AW93" s="88"/>
      <c r="AX93" s="88"/>
      <c r="AY93" s="88"/>
      <c r="AZ93" s="113"/>
    </row>
    <row r="94" spans="2:52" ht="17.25" customHeight="1" thickBot="1" x14ac:dyDescent="0.3">
      <c r="C94" s="234"/>
      <c r="D94" s="235"/>
      <c r="E94" s="197" t="s">
        <v>19</v>
      </c>
      <c r="F94" s="197"/>
      <c r="G94" s="177">
        <f>INDEX($AF$22:$AR$33,MATCH($U$97,$AF$22:$AF$33,0),2)</f>
        <v>20</v>
      </c>
      <c r="H94" s="177"/>
      <c r="I94" s="178"/>
      <c r="R94" s="64" t="s">
        <v>653</v>
      </c>
      <c r="S94" s="154">
        <v>50</v>
      </c>
      <c r="T94" s="65"/>
      <c r="U94" s="66"/>
      <c r="AF94" s="129"/>
      <c r="AG94" s="130"/>
      <c r="AH94" s="130"/>
      <c r="AI94" s="130"/>
      <c r="AJ94" s="130"/>
      <c r="AK94" s="119"/>
      <c r="AL94" s="131"/>
      <c r="AM94" s="119"/>
      <c r="AN94" s="132"/>
      <c r="AO94" s="119"/>
      <c r="AP94" s="132"/>
      <c r="AQ94" s="119"/>
      <c r="AR94" s="91"/>
      <c r="AS94" s="91"/>
      <c r="AT94" s="91"/>
      <c r="AU94" s="91"/>
      <c r="AV94" s="91"/>
      <c r="AW94" s="91"/>
      <c r="AX94" s="91"/>
      <c r="AY94" s="91"/>
      <c r="AZ94" s="97"/>
    </row>
    <row r="95" spans="2:52" ht="17.25" customHeight="1" x14ac:dyDescent="0.25">
      <c r="C95" s="234"/>
      <c r="D95" s="235"/>
      <c r="E95" s="197" t="s">
        <v>20</v>
      </c>
      <c r="F95" s="197"/>
      <c r="G95" s="177">
        <f>INDEX($AF$22:$AR$33,MATCH($U$97,$AF$22:$AF$33,0),7)</f>
        <v>3.6</v>
      </c>
      <c r="H95" s="177"/>
      <c r="I95" s="178"/>
      <c r="R95" s="64" t="s">
        <v>654</v>
      </c>
      <c r="S95" s="154">
        <v>60</v>
      </c>
      <c r="T95" s="65"/>
      <c r="U95" s="66"/>
      <c r="AO95" s="115"/>
      <c r="AP95" s="124"/>
      <c r="AQ95" s="115"/>
    </row>
    <row r="96" spans="2:52" ht="17.25" customHeight="1" thickBot="1" x14ac:dyDescent="0.3">
      <c r="C96" s="234"/>
      <c r="D96" s="235"/>
      <c r="E96" s="197" t="s">
        <v>21</v>
      </c>
      <c r="F96" s="197"/>
      <c r="G96" s="203">
        <f>INDEX($AE$10:$AK$13,MATCH($U$99,$AE$10:$AE$13,0),6)</f>
        <v>4166666.6666666665</v>
      </c>
      <c r="H96" s="203"/>
      <c r="I96" s="204"/>
      <c r="R96" s="63" t="s">
        <v>655</v>
      </c>
      <c r="S96" s="314">
        <f>((H9/100*H6)*(K64/100)*(S94/100)+(S94*(S95-H9)/10000*H6)*(K64/100)*(S94/100)+R28*(K64/100)*(S94/100)+R31*(K64/100)*(S94/100))/(S94/100)</f>
        <v>15.36</v>
      </c>
      <c r="T96" s="314"/>
      <c r="U96" s="315"/>
      <c r="AO96" s="115"/>
      <c r="AP96" s="124"/>
      <c r="AQ96" s="115"/>
    </row>
    <row r="97" spans="3:83" ht="17.25" customHeight="1" thickBot="1" x14ac:dyDescent="0.3">
      <c r="C97" s="234"/>
      <c r="D97" s="235"/>
      <c r="E97" s="311" t="s">
        <v>630</v>
      </c>
      <c r="F97" s="311"/>
      <c r="G97" s="309">
        <f>INDEX($AE$10:$AN$13,MATCH($U$99,$AE$10:$AE$13,0),9)</f>
        <v>83333.333333333328</v>
      </c>
      <c r="H97" s="309"/>
      <c r="I97" s="310"/>
      <c r="K97" s="5"/>
      <c r="R97" s="67" t="s">
        <v>68</v>
      </c>
      <c r="S97" s="68"/>
      <c r="T97" s="68"/>
      <c r="U97" s="155" t="s">
        <v>44</v>
      </c>
      <c r="W97" s="10"/>
      <c r="AO97" s="115"/>
      <c r="AP97" s="124"/>
      <c r="AQ97" s="115"/>
    </row>
    <row r="98" spans="3:83" ht="17.25" customHeight="1" x14ac:dyDescent="0.25">
      <c r="C98" s="234"/>
      <c r="D98" s="235"/>
      <c r="E98" s="197" t="s">
        <v>634</v>
      </c>
      <c r="F98" s="197"/>
      <c r="G98" s="198">
        <f>INDEX($AE$10:$AN$13,MATCH($U$99,$AE$10:$AE$13,0),4)</f>
        <v>5000</v>
      </c>
      <c r="H98" s="198"/>
      <c r="I98" s="199"/>
      <c r="O98" s="214" t="s">
        <v>738</v>
      </c>
      <c r="P98" s="215"/>
      <c r="Q98" s="215"/>
      <c r="R98" s="215"/>
      <c r="S98" s="215"/>
      <c r="T98" s="215"/>
      <c r="U98" s="216" t="s">
        <v>28</v>
      </c>
      <c r="V98" s="216"/>
      <c r="W98" s="216"/>
      <c r="X98" s="216"/>
      <c r="Y98" s="61"/>
      <c r="AO98" s="115"/>
      <c r="AP98" s="124"/>
      <c r="AQ98" s="115"/>
    </row>
    <row r="99" spans="3:83" ht="17.25" customHeight="1" thickBot="1" x14ac:dyDescent="0.3">
      <c r="C99" s="234"/>
      <c r="D99" s="235"/>
      <c r="E99" s="311" t="s">
        <v>635</v>
      </c>
      <c r="F99" s="311"/>
      <c r="G99" s="312">
        <f>INDEX($AE$10:$AU$13,MATCH($U$99,$AE$10:$AE$13,0),17)</f>
        <v>50</v>
      </c>
      <c r="H99" s="312"/>
      <c r="I99" s="313"/>
      <c r="O99" s="218" t="s">
        <v>10</v>
      </c>
      <c r="P99" s="219"/>
      <c r="Q99" s="219"/>
      <c r="R99" s="219"/>
      <c r="S99" s="219"/>
      <c r="T99" s="219"/>
      <c r="U99" s="153" t="s">
        <v>31</v>
      </c>
      <c r="V99" s="10"/>
      <c r="W99" s="10"/>
      <c r="X99" s="10"/>
      <c r="Y99" s="57"/>
      <c r="AO99" s="115"/>
      <c r="AP99" s="124"/>
      <c r="AQ99" s="115"/>
    </row>
    <row r="100" spans="3:83" ht="17.25" customHeight="1" x14ac:dyDescent="0.25">
      <c r="C100" s="208" t="s">
        <v>13</v>
      </c>
      <c r="D100" s="238"/>
      <c r="E100" s="205" t="s">
        <v>22</v>
      </c>
      <c r="F100" s="205"/>
      <c r="G100" s="211">
        <f>INDEX($AF$22:$AR$33,MATCH($U$97,$AF$22:$AF$33,0),9)*1000</f>
        <v>6400</v>
      </c>
      <c r="H100" s="211"/>
      <c r="I100" s="212"/>
      <c r="O100" s="218" t="s">
        <v>9</v>
      </c>
      <c r="P100" s="219"/>
      <c r="Q100" s="219"/>
      <c r="R100" s="219"/>
      <c r="S100" s="219"/>
      <c r="T100" s="219"/>
      <c r="U100" s="153" t="s">
        <v>32</v>
      </c>
      <c r="V100" s="10"/>
      <c r="W100" s="10"/>
      <c r="X100" s="10"/>
      <c r="Y100" s="57"/>
      <c r="AO100" s="115"/>
      <c r="AP100" s="124"/>
      <c r="AQ100" s="115"/>
    </row>
    <row r="101" spans="3:83" ht="17.25" customHeight="1" thickBot="1" x14ac:dyDescent="0.3">
      <c r="C101" s="209"/>
      <c r="D101" s="239"/>
      <c r="E101" s="197" t="s">
        <v>23</v>
      </c>
      <c r="F101" s="197"/>
      <c r="G101" s="177">
        <f>INDEX($AF$22:$AR$33,MATCH($U$97,$AF$22:$AF$33,0),2)</f>
        <v>20</v>
      </c>
      <c r="H101" s="177"/>
      <c r="I101" s="178"/>
      <c r="O101" s="218" t="s">
        <v>163</v>
      </c>
      <c r="P101" s="219"/>
      <c r="Q101" s="219"/>
      <c r="R101" s="219"/>
      <c r="S101" s="219"/>
      <c r="T101" s="219"/>
      <c r="U101" s="246">
        <v>170</v>
      </c>
      <c r="V101" s="246"/>
      <c r="W101" s="55"/>
      <c r="X101" s="55"/>
      <c r="Y101" s="58"/>
      <c r="AO101" s="115"/>
      <c r="AP101" s="124"/>
      <c r="AQ101" s="115"/>
    </row>
    <row r="102" spans="3:83" ht="17.25" customHeight="1" thickBot="1" x14ac:dyDescent="0.3">
      <c r="C102" s="209"/>
      <c r="D102" s="239"/>
      <c r="E102" s="197" t="s">
        <v>24</v>
      </c>
      <c r="F102" s="197"/>
      <c r="G102" s="177">
        <f>INDEX($AF$22:$AR$33,MATCH($U$97,$AF$22:$AF$33,0),7)</f>
        <v>3.6</v>
      </c>
      <c r="H102" s="177"/>
      <c r="I102" s="178"/>
      <c r="O102" s="218" t="s">
        <v>162</v>
      </c>
      <c r="P102" s="219"/>
      <c r="Q102" s="219"/>
      <c r="R102" s="219"/>
      <c r="S102" s="219"/>
      <c r="T102" s="219"/>
      <c r="U102" s="316">
        <f>INDEX('Teleskobik Dikmeler'!$O$5:$P$45,MATCH(Sayfa1!$U$8,'Teleskobik Dikmeler'!$P$5:$P$45,0),1)</f>
        <v>20</v>
      </c>
      <c r="V102" s="316"/>
      <c r="W102" s="72"/>
      <c r="X102" s="72"/>
      <c r="Y102" s="73"/>
      <c r="AE102" s="84"/>
      <c r="AF102" s="133"/>
      <c r="AG102" s="133"/>
      <c r="AH102" s="134"/>
      <c r="AI102" s="134"/>
      <c r="AJ102" s="134"/>
      <c r="AK102" s="134"/>
      <c r="AL102" s="135"/>
      <c r="AM102" s="134"/>
      <c r="AN102" s="135"/>
      <c r="AO102" s="134"/>
      <c r="AP102" s="135"/>
      <c r="AQ102" s="134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112"/>
    </row>
    <row r="103" spans="3:83" ht="17.25" customHeight="1" x14ac:dyDescent="0.25">
      <c r="C103" s="209"/>
      <c r="D103" s="239"/>
      <c r="E103" s="197" t="s">
        <v>25</v>
      </c>
      <c r="F103" s="197"/>
      <c r="G103" s="324">
        <f>INDEX($AE$10:$AK$13,MATCH($U$100,$AE$10:$AE$13,0),6)</f>
        <v>8333333.333333333</v>
      </c>
      <c r="H103" s="324"/>
      <c r="I103" s="325"/>
      <c r="O103" s="214" t="s">
        <v>671</v>
      </c>
      <c r="P103" s="216">
        <v>2</v>
      </c>
      <c r="Q103" s="317" t="s">
        <v>648</v>
      </c>
      <c r="R103" s="317"/>
      <c r="S103" s="317"/>
      <c r="T103" s="317"/>
      <c r="U103" s="317"/>
      <c r="V103" s="317"/>
      <c r="W103" s="317"/>
      <c r="X103" s="317"/>
      <c r="Y103" s="318"/>
      <c r="AE103" s="111"/>
      <c r="AF103" s="355" t="s">
        <v>124</v>
      </c>
      <c r="AG103" s="355"/>
      <c r="AH103" s="355"/>
      <c r="AI103" s="355"/>
      <c r="AJ103" s="355"/>
      <c r="AK103" s="355"/>
      <c r="AL103" s="355"/>
      <c r="AM103" s="355"/>
      <c r="AN103" s="354" t="s">
        <v>126</v>
      </c>
      <c r="AO103" s="354"/>
      <c r="AP103" s="354"/>
      <c r="AQ103" s="351" t="s">
        <v>125</v>
      </c>
      <c r="AR103" s="351"/>
      <c r="AS103" s="351"/>
      <c r="AT103" s="351"/>
      <c r="AU103" s="351"/>
      <c r="AV103" s="351"/>
      <c r="AW103" s="351"/>
      <c r="AX103" s="351"/>
      <c r="AY103" s="351"/>
      <c r="AZ103" s="351"/>
      <c r="BA103" s="351"/>
      <c r="BB103" s="351"/>
      <c r="BC103" s="351"/>
      <c r="BD103" s="351"/>
      <c r="BE103" s="351"/>
      <c r="BF103" s="88"/>
      <c r="BG103" s="88"/>
      <c r="BH103" s="88"/>
      <c r="BI103" s="88"/>
      <c r="BJ103" s="88"/>
      <c r="BK103" s="88"/>
      <c r="BL103" s="88"/>
      <c r="BM103" s="88"/>
      <c r="BN103" s="88"/>
      <c r="BO103" s="88"/>
      <c r="BP103" s="88"/>
      <c r="BQ103" s="88"/>
      <c r="BR103" s="88"/>
      <c r="BS103" s="88"/>
      <c r="BT103" s="88"/>
      <c r="BU103" s="88"/>
      <c r="BV103" s="88"/>
      <c r="BW103" s="88"/>
      <c r="BX103" s="88"/>
      <c r="BY103" s="88"/>
      <c r="BZ103" s="88"/>
      <c r="CA103" s="88"/>
      <c r="CB103" s="88"/>
      <c r="CC103" s="88"/>
      <c r="CD103" s="88"/>
      <c r="CE103" s="113"/>
    </row>
    <row r="104" spans="3:83" ht="17.25" customHeight="1" thickBot="1" x14ac:dyDescent="0.3">
      <c r="C104" s="209"/>
      <c r="D104" s="239"/>
      <c r="E104" s="197" t="s">
        <v>631</v>
      </c>
      <c r="F104" s="197"/>
      <c r="G104" s="230">
        <f>INDEX($AE$10:$AN$13,MATCH($U$100,$AE$10:$AE$13,0),9)</f>
        <v>166666.66666666666</v>
      </c>
      <c r="H104" s="230"/>
      <c r="I104" s="231"/>
      <c r="O104" s="220"/>
      <c r="P104" s="222"/>
      <c r="Q104" s="319"/>
      <c r="R104" s="319"/>
      <c r="S104" s="319"/>
      <c r="T104" s="319"/>
      <c r="U104" s="319"/>
      <c r="V104" s="319"/>
      <c r="W104" s="319"/>
      <c r="X104" s="319"/>
      <c r="Y104" s="320"/>
      <c r="AE104" s="111"/>
      <c r="AF104" s="357" t="s">
        <v>135</v>
      </c>
      <c r="AG104" s="357"/>
      <c r="AH104" s="357"/>
      <c r="AI104" s="357"/>
      <c r="AJ104" s="357"/>
      <c r="AK104" s="357"/>
      <c r="AL104" s="357"/>
      <c r="AM104" s="357"/>
      <c r="AN104" s="354"/>
      <c r="AO104" s="354"/>
      <c r="AP104" s="354"/>
      <c r="AQ104" s="353" t="s">
        <v>136</v>
      </c>
      <c r="AR104" s="351"/>
      <c r="AS104" s="351"/>
      <c r="AT104" s="351"/>
      <c r="AU104" s="351"/>
      <c r="AV104" s="351"/>
      <c r="AW104" s="351"/>
      <c r="AX104" s="351"/>
      <c r="AY104" s="351"/>
      <c r="AZ104" s="351"/>
      <c r="BA104" s="351"/>
      <c r="BB104" s="351"/>
      <c r="BC104" s="351"/>
      <c r="BD104" s="351"/>
      <c r="BE104" s="351"/>
      <c r="BF104" s="88"/>
      <c r="BG104" s="88"/>
      <c r="BH104" s="88"/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88"/>
      <c r="BT104" s="88"/>
      <c r="BU104" s="88"/>
      <c r="BV104" s="88"/>
      <c r="BW104" s="88"/>
      <c r="BX104" s="88"/>
      <c r="BY104" s="88"/>
      <c r="BZ104" s="88"/>
      <c r="CA104" s="88"/>
      <c r="CB104" s="88"/>
      <c r="CC104" s="88"/>
      <c r="CD104" s="88"/>
      <c r="CE104" s="113"/>
    </row>
    <row r="105" spans="3:83" ht="17.25" customHeight="1" thickBot="1" x14ac:dyDescent="0.3">
      <c r="C105" s="209"/>
      <c r="D105" s="239"/>
      <c r="E105" s="197" t="s">
        <v>637</v>
      </c>
      <c r="F105" s="197"/>
      <c r="G105" s="198">
        <f>INDEX($AE$10:$AN$13,MATCH($U$100,$AE$10:$AE$13,0),4)</f>
        <v>10000</v>
      </c>
      <c r="H105" s="198"/>
      <c r="I105" s="199"/>
      <c r="O105" s="298" t="s">
        <v>670</v>
      </c>
      <c r="P105" s="299"/>
      <c r="Q105" s="299"/>
      <c r="R105" s="299"/>
      <c r="S105" s="299"/>
      <c r="T105" s="299"/>
      <c r="U105" s="156" t="s">
        <v>669</v>
      </c>
      <c r="AE105" s="111"/>
      <c r="AF105" s="355" t="s">
        <v>129</v>
      </c>
      <c r="AG105" s="355"/>
      <c r="AH105" s="355"/>
      <c r="AI105" s="355"/>
      <c r="AJ105" s="355"/>
      <c r="AK105" s="355"/>
      <c r="AL105" s="355"/>
      <c r="AM105" s="355"/>
      <c r="AN105" s="354"/>
      <c r="AO105" s="354"/>
      <c r="AP105" s="354"/>
      <c r="AQ105" s="353" t="s">
        <v>130</v>
      </c>
      <c r="AR105" s="353"/>
      <c r="AS105" s="353"/>
      <c r="AT105" s="353" t="s">
        <v>131</v>
      </c>
      <c r="AU105" s="353"/>
      <c r="AV105" s="353"/>
      <c r="AW105" s="353" t="s">
        <v>132</v>
      </c>
      <c r="AX105" s="353"/>
      <c r="AY105" s="353"/>
      <c r="AZ105" s="353" t="s">
        <v>133</v>
      </c>
      <c r="BA105" s="356"/>
      <c r="BB105" s="356"/>
      <c r="BC105" s="353" t="s">
        <v>134</v>
      </c>
      <c r="BD105" s="353"/>
      <c r="BE105" s="353"/>
      <c r="BF105" s="88"/>
      <c r="BG105" s="88"/>
      <c r="BH105" s="88"/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  <c r="BS105" s="88"/>
      <c r="BT105" s="88"/>
      <c r="BU105" s="88"/>
      <c r="BV105" s="88"/>
      <c r="BW105" s="88"/>
      <c r="BX105" s="88"/>
      <c r="BY105" s="88"/>
      <c r="BZ105" s="88"/>
      <c r="CA105" s="88"/>
      <c r="CB105" s="88"/>
      <c r="CC105" s="88"/>
      <c r="CD105" s="88"/>
      <c r="CE105" s="113"/>
    </row>
    <row r="106" spans="3:83" ht="17.25" customHeight="1" thickBot="1" x14ac:dyDescent="0.3">
      <c r="C106" s="210"/>
      <c r="D106" s="240"/>
      <c r="E106" s="194" t="s">
        <v>638</v>
      </c>
      <c r="F106" s="194"/>
      <c r="G106" s="195">
        <f>INDEX($AE$10:$AU$13,MATCH($U$100,$AE$10:$AE$13,0),17)</f>
        <v>100</v>
      </c>
      <c r="H106" s="195"/>
      <c r="I106" s="196"/>
      <c r="O106" s="298" t="s">
        <v>673</v>
      </c>
      <c r="P106" s="299"/>
      <c r="Q106" s="299"/>
      <c r="R106" s="299"/>
      <c r="S106" s="299"/>
      <c r="T106" s="299"/>
      <c r="U106" s="284" t="s">
        <v>28</v>
      </c>
      <c r="V106" s="284"/>
      <c r="W106" s="284"/>
      <c r="X106" s="285"/>
      <c r="AE106" s="111"/>
      <c r="AF106" s="355" t="s">
        <v>141</v>
      </c>
      <c r="AG106" s="355"/>
      <c r="AH106" s="355"/>
      <c r="AI106" s="355"/>
      <c r="AJ106" s="355"/>
      <c r="AK106" s="355"/>
      <c r="AL106" s="355"/>
      <c r="AM106" s="355"/>
      <c r="AN106" s="356" t="s">
        <v>127</v>
      </c>
      <c r="AO106" s="356"/>
      <c r="AP106" s="356"/>
      <c r="AQ106" s="352">
        <v>2</v>
      </c>
      <c r="AR106" s="352"/>
      <c r="AS106" s="352"/>
      <c r="AT106" s="354">
        <v>20</v>
      </c>
      <c r="AU106" s="354"/>
      <c r="AV106" s="354"/>
      <c r="AW106" s="352">
        <v>18</v>
      </c>
      <c r="AX106" s="352"/>
      <c r="AY106" s="352"/>
      <c r="AZ106" s="352">
        <v>16</v>
      </c>
      <c r="BA106" s="352"/>
      <c r="BB106" s="352"/>
      <c r="BC106" s="352">
        <v>14</v>
      </c>
      <c r="BD106" s="352"/>
      <c r="BE106" s="352"/>
      <c r="BF106" s="88"/>
      <c r="BG106" s="88"/>
      <c r="BH106" s="88"/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88"/>
      <c r="BT106" s="88"/>
      <c r="BU106" s="88"/>
      <c r="BV106" s="88"/>
      <c r="BW106" s="88"/>
      <c r="BX106" s="88"/>
      <c r="BY106" s="88"/>
      <c r="BZ106" s="88"/>
      <c r="CA106" s="88"/>
      <c r="CB106" s="88"/>
      <c r="CC106" s="88"/>
      <c r="CD106" s="88"/>
      <c r="CE106" s="113"/>
    </row>
    <row r="107" spans="3:83" ht="17.25" customHeight="1" x14ac:dyDescent="0.25">
      <c r="C107" s="232" t="s">
        <v>675</v>
      </c>
      <c r="D107" s="233"/>
      <c r="E107" s="286" t="s">
        <v>14</v>
      </c>
      <c r="F107" s="287"/>
      <c r="G107" s="288">
        <f>INDEX($AE$3:$AQ$7,MATCH(U98,$AE$3:$AE$7,0),6)</f>
        <v>3830</v>
      </c>
      <c r="H107" s="289"/>
      <c r="I107" s="290"/>
      <c r="O107" s="232" t="s">
        <v>674</v>
      </c>
      <c r="P107" s="233"/>
      <c r="Q107" s="286" t="s">
        <v>14</v>
      </c>
      <c r="R107" s="287"/>
      <c r="S107" s="288">
        <f>INDEX($AE$3:$AQ$7,MATCH(U106,$AE$3:$AE$7,0),6)</f>
        <v>3830</v>
      </c>
      <c r="T107" s="289"/>
      <c r="U107" s="290"/>
      <c r="AB107" s="82" t="s">
        <v>667</v>
      </c>
      <c r="AE107" s="111"/>
      <c r="AF107" s="355" t="s">
        <v>137</v>
      </c>
      <c r="AG107" s="355"/>
      <c r="AH107" s="355"/>
      <c r="AI107" s="355"/>
      <c r="AJ107" s="355"/>
      <c r="AK107" s="355"/>
      <c r="AL107" s="355"/>
      <c r="AM107" s="355"/>
      <c r="AN107" s="356" t="s">
        <v>127</v>
      </c>
      <c r="AO107" s="356"/>
      <c r="AP107" s="356"/>
      <c r="AQ107" s="352">
        <v>1</v>
      </c>
      <c r="AR107" s="352"/>
      <c r="AS107" s="352"/>
      <c r="AT107" s="354">
        <v>10</v>
      </c>
      <c r="AU107" s="354"/>
      <c r="AV107" s="354"/>
      <c r="AW107" s="352">
        <v>9</v>
      </c>
      <c r="AX107" s="352"/>
      <c r="AY107" s="352"/>
      <c r="AZ107" s="352">
        <v>8</v>
      </c>
      <c r="BA107" s="352"/>
      <c r="BB107" s="352"/>
      <c r="BC107" s="352">
        <v>7</v>
      </c>
      <c r="BD107" s="352"/>
      <c r="BE107" s="352"/>
      <c r="BF107" s="88"/>
      <c r="BG107" s="88"/>
      <c r="BH107" s="88"/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/>
      <c r="BU107" s="88"/>
      <c r="BV107" s="88"/>
      <c r="BW107" s="88"/>
      <c r="BX107" s="88"/>
      <c r="BY107" s="88"/>
      <c r="BZ107" s="88"/>
      <c r="CA107" s="88"/>
      <c r="CB107" s="88"/>
      <c r="CC107" s="88"/>
      <c r="CD107" s="88"/>
      <c r="CE107" s="113"/>
    </row>
    <row r="108" spans="3:83" ht="17.25" customHeight="1" x14ac:dyDescent="0.25">
      <c r="C108" s="234"/>
      <c r="D108" s="235"/>
      <c r="E108" s="271" t="s">
        <v>15</v>
      </c>
      <c r="F108" s="272"/>
      <c r="G108" s="291">
        <f>INDEX($AE$3:$AQ$7,MATCH(U98,AE3:AE7,0),8)</f>
        <v>13</v>
      </c>
      <c r="H108" s="292"/>
      <c r="I108" s="293"/>
      <c r="O108" s="234"/>
      <c r="P108" s="235"/>
      <c r="Q108" s="271" t="s">
        <v>15</v>
      </c>
      <c r="R108" s="272"/>
      <c r="S108" s="291">
        <f>INDEX($AE$3:$AQ$7,MATCH(U106,AE3:AE7,0),8)</f>
        <v>13</v>
      </c>
      <c r="T108" s="292"/>
      <c r="U108" s="293"/>
      <c r="AB108" s="82" t="s">
        <v>668</v>
      </c>
      <c r="AE108" s="111"/>
      <c r="AF108" s="355" t="s">
        <v>138</v>
      </c>
      <c r="AG108" s="355"/>
      <c r="AH108" s="355"/>
      <c r="AI108" s="355"/>
      <c r="AJ108" s="355"/>
      <c r="AK108" s="355"/>
      <c r="AL108" s="355"/>
      <c r="AM108" s="355"/>
      <c r="AN108" s="356" t="s">
        <v>127</v>
      </c>
      <c r="AO108" s="356"/>
      <c r="AP108" s="356"/>
      <c r="AQ108" s="354">
        <v>3500</v>
      </c>
      <c r="AR108" s="354"/>
      <c r="AS108" s="354"/>
      <c r="AT108" s="354">
        <v>3500</v>
      </c>
      <c r="AU108" s="354"/>
      <c r="AV108" s="354"/>
      <c r="AW108" s="354">
        <v>3500</v>
      </c>
      <c r="AX108" s="354"/>
      <c r="AY108" s="354"/>
      <c r="AZ108" s="354">
        <v>3500</v>
      </c>
      <c r="BA108" s="354"/>
      <c r="BB108" s="354"/>
      <c r="BC108" s="354">
        <v>3500</v>
      </c>
      <c r="BD108" s="354"/>
      <c r="BE108" s="354"/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/>
      <c r="BU108" s="88"/>
      <c r="BV108" s="88"/>
      <c r="BW108" s="88"/>
      <c r="BX108" s="88"/>
      <c r="BY108" s="88"/>
      <c r="BZ108" s="88"/>
      <c r="CA108" s="88"/>
      <c r="CB108" s="88"/>
      <c r="CC108" s="88"/>
      <c r="CD108" s="88"/>
      <c r="CE108" s="113"/>
    </row>
    <row r="109" spans="3:83" ht="17.25" customHeight="1" x14ac:dyDescent="0.25">
      <c r="C109" s="234"/>
      <c r="D109" s="235"/>
      <c r="E109" s="271" t="s">
        <v>16</v>
      </c>
      <c r="F109" s="272"/>
      <c r="G109" s="291">
        <f>INDEX($AE$3:$AQ$7,MATCH(U98,AE3:AE7,0),10)</f>
        <v>2</v>
      </c>
      <c r="H109" s="292"/>
      <c r="I109" s="293"/>
      <c r="O109" s="234"/>
      <c r="P109" s="235"/>
      <c r="Q109" s="271" t="s">
        <v>16</v>
      </c>
      <c r="R109" s="272"/>
      <c r="S109" s="291">
        <f>INDEX($AE$3:$AQ$7,MATCH(U106,AE3:AE7,0),10)</f>
        <v>2</v>
      </c>
      <c r="T109" s="292"/>
      <c r="U109" s="293"/>
      <c r="AB109" s="82" t="s">
        <v>669</v>
      </c>
      <c r="AE109" s="111"/>
      <c r="AF109" s="355" t="s">
        <v>139</v>
      </c>
      <c r="AG109" s="355"/>
      <c r="AH109" s="355"/>
      <c r="AI109" s="355"/>
      <c r="AJ109" s="355"/>
      <c r="AK109" s="355"/>
      <c r="AL109" s="355"/>
      <c r="AM109" s="355"/>
      <c r="AN109" s="356" t="s">
        <v>127</v>
      </c>
      <c r="AO109" s="356"/>
      <c r="AP109" s="356"/>
      <c r="AQ109" s="354">
        <v>1400</v>
      </c>
      <c r="AR109" s="354"/>
      <c r="AS109" s="354"/>
      <c r="AT109" s="354">
        <v>1400</v>
      </c>
      <c r="AU109" s="354"/>
      <c r="AV109" s="354"/>
      <c r="AW109" s="354">
        <v>1400</v>
      </c>
      <c r="AX109" s="354"/>
      <c r="AY109" s="354"/>
      <c r="AZ109" s="354">
        <v>1400</v>
      </c>
      <c r="BA109" s="354"/>
      <c r="BB109" s="354"/>
      <c r="BC109" s="354">
        <v>1400</v>
      </c>
      <c r="BD109" s="354"/>
      <c r="BE109" s="354"/>
      <c r="BF109" s="88"/>
      <c r="BG109" s="88"/>
      <c r="BH109" s="88"/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88"/>
      <c r="BT109" s="88"/>
      <c r="BU109" s="88"/>
      <c r="BV109" s="88"/>
      <c r="BW109" s="88"/>
      <c r="BX109" s="88"/>
      <c r="BY109" s="88"/>
      <c r="BZ109" s="88"/>
      <c r="CA109" s="88"/>
      <c r="CB109" s="88"/>
      <c r="CC109" s="88"/>
      <c r="CD109" s="88"/>
      <c r="CE109" s="113"/>
    </row>
    <row r="110" spans="3:83" ht="17.25" customHeight="1" x14ac:dyDescent="0.25">
      <c r="C110" s="234"/>
      <c r="D110" s="235"/>
      <c r="E110" s="271" t="s">
        <v>17</v>
      </c>
      <c r="F110" s="272"/>
      <c r="G110" s="294">
        <f>INDEX($AE$3:$AQ$7,MATCH(U98,AE3:AE7,0),12)</f>
        <v>486000</v>
      </c>
      <c r="H110" s="295"/>
      <c r="I110" s="296"/>
      <c r="O110" s="234"/>
      <c r="P110" s="235"/>
      <c r="Q110" s="271" t="s">
        <v>17</v>
      </c>
      <c r="R110" s="272"/>
      <c r="S110" s="294">
        <f>INDEX($AE$3:$AQ$7,MATCH(U106,AE3:AE7,0),12)</f>
        <v>486000</v>
      </c>
      <c r="T110" s="295"/>
      <c r="U110" s="296"/>
      <c r="AE110" s="111"/>
      <c r="AF110" s="355" t="s">
        <v>123</v>
      </c>
      <c r="AG110" s="355"/>
      <c r="AH110" s="355"/>
      <c r="AI110" s="355"/>
      <c r="AJ110" s="355"/>
      <c r="AK110" s="355"/>
      <c r="AL110" s="355"/>
      <c r="AM110" s="355"/>
      <c r="AN110" s="356" t="s">
        <v>127</v>
      </c>
      <c r="AO110" s="356"/>
      <c r="AP110" s="356"/>
      <c r="AQ110" s="354">
        <v>0.34</v>
      </c>
      <c r="AR110" s="354"/>
      <c r="AS110" s="354"/>
      <c r="AT110" s="351">
        <v>0.32</v>
      </c>
      <c r="AU110" s="351"/>
      <c r="AV110" s="351"/>
      <c r="AW110" s="351">
        <v>0.3</v>
      </c>
      <c r="AX110" s="351"/>
      <c r="AY110" s="351"/>
      <c r="AZ110" s="351">
        <v>0.28999999999999998</v>
      </c>
      <c r="BA110" s="351"/>
      <c r="BB110" s="351"/>
      <c r="BC110" s="351">
        <v>0.26</v>
      </c>
      <c r="BD110" s="351"/>
      <c r="BE110" s="351"/>
      <c r="BF110" s="88"/>
      <c r="BG110" s="88"/>
      <c r="BH110" s="88"/>
      <c r="BI110" s="88"/>
      <c r="BJ110" s="88"/>
      <c r="BK110" s="88"/>
      <c r="BL110" s="88"/>
      <c r="BM110" s="88"/>
      <c r="BN110" s="88"/>
      <c r="BO110" s="88"/>
      <c r="BP110" s="88"/>
      <c r="BQ110" s="88"/>
      <c r="BR110" s="88"/>
      <c r="BS110" s="88"/>
      <c r="BT110" s="88"/>
      <c r="BU110" s="88"/>
      <c r="BV110" s="88"/>
      <c r="BW110" s="88"/>
      <c r="BX110" s="88"/>
      <c r="BY110" s="88"/>
      <c r="BZ110" s="88"/>
      <c r="CA110" s="88"/>
      <c r="CB110" s="88"/>
      <c r="CC110" s="88"/>
      <c r="CD110" s="88"/>
      <c r="CE110" s="113"/>
    </row>
    <row r="111" spans="3:83" ht="17.25" customHeight="1" x14ac:dyDescent="0.25">
      <c r="C111" s="234"/>
      <c r="D111" s="235"/>
      <c r="E111" s="271" t="s">
        <v>629</v>
      </c>
      <c r="F111" s="272"/>
      <c r="G111" s="273">
        <f>INDEX($AE$3:$AT$7,MATCH(U98,AE3:AE7,0),16)</f>
        <v>54000</v>
      </c>
      <c r="H111" s="274"/>
      <c r="I111" s="275"/>
      <c r="O111" s="234"/>
      <c r="P111" s="235"/>
      <c r="Q111" s="271" t="s">
        <v>629</v>
      </c>
      <c r="R111" s="272"/>
      <c r="S111" s="273">
        <f>INDEX($AE$3:$AT$7,MATCH(U106,AE3:AE7,0),16)</f>
        <v>54000</v>
      </c>
      <c r="T111" s="274"/>
      <c r="U111" s="275"/>
      <c r="AE111" s="111"/>
      <c r="AF111" s="355" t="s">
        <v>140</v>
      </c>
      <c r="AG111" s="355"/>
      <c r="AH111" s="355"/>
      <c r="AI111" s="355"/>
      <c r="AJ111" s="355"/>
      <c r="AK111" s="355"/>
      <c r="AL111" s="355"/>
      <c r="AM111" s="355"/>
      <c r="AN111" s="354" t="s">
        <v>128</v>
      </c>
      <c r="AO111" s="354"/>
      <c r="AP111" s="354"/>
      <c r="AQ111" s="352">
        <v>15</v>
      </c>
      <c r="AR111" s="352"/>
      <c r="AS111" s="352"/>
      <c r="AT111" s="352">
        <v>15</v>
      </c>
      <c r="AU111" s="352"/>
      <c r="AV111" s="352"/>
      <c r="AW111" s="352">
        <v>15</v>
      </c>
      <c r="AX111" s="352"/>
      <c r="AY111" s="352"/>
      <c r="AZ111" s="352">
        <v>15</v>
      </c>
      <c r="BA111" s="352"/>
      <c r="BB111" s="352"/>
      <c r="BC111" s="352">
        <v>15</v>
      </c>
      <c r="BD111" s="352"/>
      <c r="BE111" s="352"/>
      <c r="BF111" s="88"/>
      <c r="BG111" s="88"/>
      <c r="BH111" s="88"/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/>
      <c r="BV111" s="88"/>
      <c r="BW111" s="88"/>
      <c r="BX111" s="88"/>
      <c r="BY111" s="88"/>
      <c r="BZ111" s="88"/>
      <c r="CA111" s="88"/>
      <c r="CB111" s="88"/>
      <c r="CC111" s="88"/>
      <c r="CD111" s="88"/>
      <c r="CE111" s="113"/>
    </row>
    <row r="112" spans="3:83" ht="17.25" customHeight="1" x14ac:dyDescent="0.25">
      <c r="C112" s="234"/>
      <c r="D112" s="235"/>
      <c r="E112" s="271" t="s">
        <v>632</v>
      </c>
      <c r="F112" s="272"/>
      <c r="G112" s="276">
        <f>INDEX($AE$3:$AS$7,MATCH(U98,AE3:AE7,0),14)</f>
        <v>18000</v>
      </c>
      <c r="H112" s="277"/>
      <c r="I112" s="278"/>
      <c r="O112" s="234"/>
      <c r="P112" s="235"/>
      <c r="Q112" s="271" t="s">
        <v>632</v>
      </c>
      <c r="R112" s="272"/>
      <c r="S112" s="276">
        <f>INDEX($AE$3:$AS$7,MATCH(U106,AE3:AE7,0),14)</f>
        <v>18000</v>
      </c>
      <c r="T112" s="277"/>
      <c r="U112" s="278"/>
      <c r="AE112" s="111"/>
      <c r="AF112" s="128"/>
      <c r="AG112" s="128"/>
      <c r="AH112" s="115"/>
      <c r="AI112" s="115"/>
      <c r="AJ112" s="115"/>
      <c r="AK112" s="115"/>
      <c r="AL112" s="124"/>
      <c r="AM112" s="115"/>
      <c r="AN112" s="124"/>
      <c r="AO112" s="115"/>
      <c r="AP112" s="124"/>
      <c r="AQ112" s="115"/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/>
      <c r="BD112" s="88"/>
      <c r="BE112" s="88"/>
      <c r="BF112" s="88"/>
      <c r="BG112" s="88"/>
      <c r="BH112" s="88"/>
      <c r="BI112" s="88"/>
      <c r="BJ112" s="88"/>
      <c r="BK112" s="88"/>
      <c r="BL112" s="88"/>
      <c r="BM112" s="88"/>
      <c r="BN112" s="88"/>
      <c r="BO112" s="88"/>
      <c r="BP112" s="88"/>
      <c r="BQ112" s="88"/>
      <c r="BR112" s="88"/>
      <c r="BS112" s="88"/>
      <c r="BT112" s="88"/>
      <c r="BU112" s="88"/>
      <c r="BV112" s="88"/>
      <c r="BW112" s="88"/>
      <c r="BX112" s="88"/>
      <c r="BY112" s="88"/>
      <c r="BZ112" s="88"/>
      <c r="CA112" s="88"/>
      <c r="CB112" s="88"/>
      <c r="CC112" s="88"/>
      <c r="CD112" s="88"/>
      <c r="CE112" s="113"/>
    </row>
    <row r="113" spans="3:83" ht="17.25" customHeight="1" thickBot="1" x14ac:dyDescent="0.3">
      <c r="C113" s="236"/>
      <c r="D113" s="237"/>
      <c r="E113" s="279" t="s">
        <v>633</v>
      </c>
      <c r="F113" s="280"/>
      <c r="G113" s="281">
        <v>1000</v>
      </c>
      <c r="H113" s="282"/>
      <c r="I113" s="283"/>
      <c r="O113" s="236"/>
      <c r="P113" s="237"/>
      <c r="Q113" s="279" t="s">
        <v>633</v>
      </c>
      <c r="R113" s="280"/>
      <c r="S113" s="281">
        <f>(S95-H9)*10</f>
        <v>400</v>
      </c>
      <c r="T113" s="282"/>
      <c r="U113" s="283"/>
      <c r="AE113" s="111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8"/>
      <c r="BZ113" s="88"/>
      <c r="CA113" s="88"/>
      <c r="CB113" s="88"/>
      <c r="CC113" s="88"/>
      <c r="CD113" s="88"/>
      <c r="CE113" s="113"/>
    </row>
    <row r="114" spans="3:83" ht="17.25" customHeight="1" x14ac:dyDescent="0.25">
      <c r="AE114" s="111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/>
      <c r="BE114" s="88"/>
      <c r="BF114" s="88"/>
      <c r="BG114" s="88"/>
      <c r="BH114" s="88"/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/>
      <c r="BU114" s="88"/>
      <c r="BV114" s="88"/>
      <c r="BW114" s="88"/>
      <c r="BX114" s="88"/>
      <c r="BY114" s="88"/>
      <c r="BZ114" s="88"/>
      <c r="CA114" s="88"/>
      <c r="CB114" s="88"/>
      <c r="CC114" s="88"/>
      <c r="CD114" s="88"/>
      <c r="CE114" s="113"/>
    </row>
    <row r="115" spans="3:83" ht="17.25" customHeight="1" x14ac:dyDescent="0.25">
      <c r="AE115" s="111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/>
      <c r="BD115" s="88"/>
      <c r="BE115" s="88"/>
      <c r="BF115" s="88"/>
      <c r="BG115" s="88"/>
      <c r="BH115" s="88"/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88"/>
      <c r="BT115" s="88"/>
      <c r="BU115" s="88"/>
      <c r="BV115" s="88"/>
      <c r="BW115" s="88"/>
      <c r="BX115" s="88"/>
      <c r="BY115" s="88"/>
      <c r="BZ115" s="88"/>
      <c r="CA115" s="88"/>
      <c r="CB115" s="88"/>
      <c r="CC115" s="88"/>
      <c r="CD115" s="88"/>
      <c r="CE115" s="113"/>
    </row>
    <row r="116" spans="3:83" ht="17.25" customHeight="1" x14ac:dyDescent="0.25">
      <c r="AE116" s="111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U116" s="88"/>
      <c r="AV116" s="88"/>
      <c r="AW116" s="88"/>
      <c r="AX116" s="88"/>
      <c r="AY116" s="88"/>
      <c r="AZ116" s="88"/>
      <c r="BA116" s="88"/>
      <c r="BB116" s="88"/>
      <c r="BC116" s="88"/>
      <c r="BD116" s="88"/>
      <c r="BE116" s="88"/>
      <c r="BF116" s="88"/>
      <c r="BG116" s="88"/>
      <c r="BH116" s="88"/>
      <c r="BI116" s="88"/>
      <c r="BJ116" s="88"/>
      <c r="BK116" s="88"/>
      <c r="BL116" s="88"/>
      <c r="BM116" s="88"/>
      <c r="BN116" s="88"/>
      <c r="BO116" s="88"/>
      <c r="BP116" s="88"/>
      <c r="BQ116" s="88"/>
      <c r="BR116" s="88"/>
      <c r="BS116" s="88"/>
      <c r="BT116" s="88"/>
      <c r="BU116" s="88"/>
      <c r="BV116" s="88"/>
      <c r="BW116" s="88"/>
      <c r="BX116" s="88"/>
      <c r="BY116" s="88"/>
      <c r="BZ116" s="88"/>
      <c r="CA116" s="88"/>
      <c r="CB116" s="88"/>
      <c r="CC116" s="88"/>
      <c r="CD116" s="88"/>
      <c r="CE116" s="113"/>
    </row>
    <row r="117" spans="3:83" ht="17.25" customHeight="1" x14ac:dyDescent="0.25">
      <c r="AE117" s="111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  <c r="AW117" s="88"/>
      <c r="AX117" s="88"/>
      <c r="AY117" s="88"/>
      <c r="AZ117" s="88"/>
      <c r="BA117" s="88"/>
      <c r="BB117" s="88"/>
      <c r="BC117" s="88"/>
      <c r="BD117" s="88"/>
      <c r="BE117" s="88"/>
      <c r="BF117" s="88"/>
      <c r="BG117" s="88"/>
      <c r="BH117" s="88"/>
      <c r="BI117" s="88"/>
      <c r="BJ117" s="88"/>
      <c r="BK117" s="88"/>
      <c r="BL117" s="88"/>
      <c r="BM117" s="88"/>
      <c r="BN117" s="88"/>
      <c r="BO117" s="88"/>
      <c r="BP117" s="88"/>
      <c r="BQ117" s="88"/>
      <c r="BR117" s="88"/>
      <c r="BS117" s="88"/>
      <c r="BT117" s="88"/>
      <c r="BU117" s="88"/>
      <c r="BV117" s="88"/>
      <c r="BW117" s="88"/>
      <c r="BX117" s="88"/>
      <c r="BY117" s="88"/>
      <c r="BZ117" s="88"/>
      <c r="CA117" s="88"/>
      <c r="CB117" s="88"/>
      <c r="CC117" s="88"/>
      <c r="CD117" s="88"/>
      <c r="CE117" s="113"/>
    </row>
    <row r="118" spans="3:83" ht="17.25" customHeight="1" x14ac:dyDescent="0.25">
      <c r="AE118" s="111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/>
      <c r="BE118" s="88"/>
      <c r="BF118" s="88"/>
      <c r="BG118" s="88"/>
      <c r="BH118" s="88"/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/>
      <c r="BV118" s="88"/>
      <c r="BW118" s="88"/>
      <c r="BX118" s="88"/>
      <c r="BY118" s="88"/>
      <c r="BZ118" s="88"/>
      <c r="CA118" s="88"/>
      <c r="CB118" s="88"/>
      <c r="CC118" s="88"/>
      <c r="CD118" s="88"/>
      <c r="CE118" s="113"/>
    </row>
    <row r="119" spans="3:83" ht="17.25" customHeight="1" x14ac:dyDescent="0.25">
      <c r="AE119" s="111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/>
      <c r="BU119" s="88"/>
      <c r="BV119" s="88"/>
      <c r="BW119" s="88"/>
      <c r="BX119" s="88"/>
      <c r="BY119" s="88"/>
      <c r="BZ119" s="88"/>
      <c r="CA119" s="88"/>
      <c r="CB119" s="88"/>
      <c r="CC119" s="88"/>
      <c r="CD119" s="88"/>
      <c r="CE119" s="113"/>
    </row>
    <row r="120" spans="3:83" ht="17.25" customHeight="1" x14ac:dyDescent="0.25">
      <c r="AE120" s="111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113"/>
    </row>
    <row r="121" spans="3:83" ht="17.25" customHeight="1" x14ac:dyDescent="0.25">
      <c r="AE121" s="111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113"/>
    </row>
    <row r="122" spans="3:83" ht="17.25" customHeight="1" x14ac:dyDescent="0.25">
      <c r="AE122" s="111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113"/>
    </row>
    <row r="123" spans="3:83" ht="17.25" customHeight="1" x14ac:dyDescent="0.25">
      <c r="AE123" s="111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U123" s="88"/>
      <c r="AV123" s="88"/>
      <c r="AW123" s="88"/>
      <c r="AX123" s="88"/>
      <c r="AY123" s="88"/>
      <c r="AZ123" s="88"/>
      <c r="BA123" s="88"/>
      <c r="BB123" s="88"/>
      <c r="BC123" s="88"/>
      <c r="BD123" s="88"/>
      <c r="BE123" s="88"/>
      <c r="BF123" s="88"/>
      <c r="BG123" s="88"/>
      <c r="BH123" s="88"/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88"/>
      <c r="BT123" s="88"/>
      <c r="BU123" s="88"/>
      <c r="BV123" s="88"/>
      <c r="BW123" s="88"/>
      <c r="BX123" s="88"/>
      <c r="BY123" s="88"/>
      <c r="BZ123" s="88"/>
      <c r="CA123" s="88"/>
      <c r="CB123" s="88"/>
      <c r="CC123" s="88"/>
      <c r="CD123" s="88"/>
      <c r="CE123" s="113"/>
    </row>
    <row r="124" spans="3:83" ht="17.25" customHeight="1" x14ac:dyDescent="0.25">
      <c r="AE124" s="111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  <c r="AU124" s="88"/>
      <c r="AV124" s="88"/>
      <c r="AW124" s="88"/>
      <c r="AX124" s="88"/>
      <c r="AY124" s="88"/>
      <c r="AZ124" s="88"/>
      <c r="BA124" s="88"/>
      <c r="BB124" s="88"/>
      <c r="BC124" s="88"/>
      <c r="BD124" s="88"/>
      <c r="BE124" s="88"/>
      <c r="BF124" s="88"/>
      <c r="BG124" s="88"/>
      <c r="BH124" s="88"/>
      <c r="BI124" s="88"/>
      <c r="BJ124" s="88"/>
      <c r="BK124" s="88"/>
      <c r="BL124" s="88"/>
      <c r="BM124" s="88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113"/>
    </row>
    <row r="125" spans="3:83" ht="17.25" customHeight="1" x14ac:dyDescent="0.25">
      <c r="AE125" s="111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113"/>
    </row>
    <row r="126" spans="3:83" ht="17.25" customHeight="1" x14ac:dyDescent="0.25">
      <c r="AE126" s="111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8"/>
      <c r="BC126" s="88"/>
      <c r="BD126" s="88"/>
      <c r="BE126" s="88"/>
      <c r="BF126" s="88"/>
      <c r="BG126" s="88"/>
      <c r="BH126" s="88"/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/>
      <c r="BV126" s="88"/>
      <c r="BW126" s="88"/>
      <c r="BX126" s="88"/>
      <c r="BY126" s="88"/>
      <c r="BZ126" s="88"/>
      <c r="CA126" s="88"/>
      <c r="CB126" s="88"/>
      <c r="CC126" s="88"/>
      <c r="CD126" s="88"/>
      <c r="CE126" s="113"/>
    </row>
    <row r="127" spans="3:83" ht="17.25" customHeight="1" x14ac:dyDescent="0.25">
      <c r="AE127" s="111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U127" s="88"/>
      <c r="AV127" s="88"/>
      <c r="AW127" s="88"/>
      <c r="AX127" s="88"/>
      <c r="AY127" s="88"/>
      <c r="AZ127" s="88"/>
      <c r="BA127" s="88"/>
      <c r="BB127" s="88"/>
      <c r="BC127" s="88"/>
      <c r="BD127" s="88"/>
      <c r="BE127" s="88"/>
      <c r="BF127" s="88"/>
      <c r="BG127" s="88"/>
      <c r="BH127" s="88"/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113"/>
    </row>
    <row r="128" spans="3:83" ht="17.25" customHeight="1" x14ac:dyDescent="0.25">
      <c r="AE128" s="111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  <c r="AU128" s="88"/>
      <c r="AV128" s="88"/>
      <c r="AW128" s="88"/>
      <c r="AX128" s="88"/>
      <c r="AY128" s="88"/>
      <c r="AZ128" s="88"/>
      <c r="BA128" s="88"/>
      <c r="BB128" s="88"/>
      <c r="BC128" s="88"/>
      <c r="BD128" s="88"/>
      <c r="BE128" s="88"/>
      <c r="BF128" s="88"/>
      <c r="BG128" s="88"/>
      <c r="BH128" s="88"/>
      <c r="BI128" s="88"/>
      <c r="BJ128" s="88"/>
      <c r="BK128" s="88"/>
      <c r="BL128" s="88"/>
      <c r="BM128" s="88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113"/>
    </row>
    <row r="129" spans="31:83" ht="17.25" customHeight="1" thickBot="1" x14ac:dyDescent="0.3">
      <c r="AE129" s="90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1"/>
      <c r="BD129" s="91"/>
      <c r="BE129" s="91"/>
      <c r="BF129" s="91"/>
      <c r="BG129" s="91"/>
      <c r="BH129" s="91"/>
      <c r="BI129" s="91"/>
      <c r="BJ129" s="91"/>
      <c r="BK129" s="91"/>
      <c r="BL129" s="91"/>
      <c r="BM129" s="91"/>
      <c r="BN129" s="91"/>
      <c r="BO129" s="91"/>
      <c r="BP129" s="91"/>
      <c r="BQ129" s="91"/>
      <c r="BR129" s="91"/>
      <c r="BS129" s="91"/>
      <c r="BT129" s="91"/>
      <c r="BU129" s="91"/>
      <c r="BV129" s="91"/>
      <c r="BW129" s="91"/>
      <c r="BX129" s="91"/>
      <c r="BY129" s="91"/>
      <c r="BZ129" s="91"/>
      <c r="CA129" s="91"/>
      <c r="CB129" s="91"/>
      <c r="CC129" s="91"/>
      <c r="CD129" s="91"/>
      <c r="CE129" s="97"/>
    </row>
    <row r="147" spans="2:21" ht="17.25" customHeight="1" thickBot="1" x14ac:dyDescent="0.3"/>
    <row r="148" spans="2:21" ht="17.25" customHeight="1" thickBot="1" x14ac:dyDescent="0.3">
      <c r="B148" s="223" t="s">
        <v>735</v>
      </c>
      <c r="C148" s="224"/>
      <c r="D148" s="224"/>
      <c r="E148" s="224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5"/>
    </row>
    <row r="149" spans="2:21" ht="17.25" customHeight="1" x14ac:dyDescent="0.25">
      <c r="B149" s="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2"/>
    </row>
    <row r="150" spans="2:21" ht="17.25" customHeight="1" x14ac:dyDescent="0.25">
      <c r="B150" s="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6"/>
    </row>
    <row r="151" spans="2:21" ht="17.25" customHeight="1" x14ac:dyDescent="0.25">
      <c r="B151" s="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6"/>
    </row>
    <row r="152" spans="2:21" ht="17.25" customHeight="1" x14ac:dyDescent="0.25">
      <c r="B152" s="4"/>
      <c r="C152" s="5"/>
      <c r="D152" s="5"/>
      <c r="E152" s="5"/>
      <c r="F152" s="213">
        <f>(3.16*SQRT((G108*G111)/(S96/1000*IF(U105="Tip-2",1000,S94*10)*2)))*IF(U105="Tip-2",0.8,1)</f>
        <v>675.55393937123927</v>
      </c>
      <c r="G152" s="213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6"/>
    </row>
    <row r="153" spans="2:21" ht="17.25" customHeight="1" x14ac:dyDescent="0.25">
      <c r="B153" s="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6"/>
    </row>
    <row r="154" spans="2:21" ht="17.25" customHeight="1" x14ac:dyDescent="0.25">
      <c r="B154" s="4"/>
      <c r="C154" s="5"/>
      <c r="D154" s="5"/>
      <c r="E154" s="5"/>
      <c r="F154" s="213">
        <f>(0.835*POWER((G107*G110/(S96/1000*IF(U105="Tip-2",1000,S94*10))),1/3))*IF(U105="Tip-2",0.8,1)</f>
        <v>520.60829458154194</v>
      </c>
      <c r="G154" s="213"/>
      <c r="H154" s="5"/>
      <c r="I154" s="5"/>
      <c r="J154" s="52" t="s">
        <v>644</v>
      </c>
      <c r="K154" s="179">
        <v>50</v>
      </c>
      <c r="L154" s="179"/>
      <c r="M154" s="179"/>
      <c r="N154" s="53" t="s">
        <v>639</v>
      </c>
      <c r="O154" s="54"/>
      <c r="P154" s="54"/>
      <c r="Q154" s="54"/>
      <c r="R154" s="54"/>
      <c r="S154" s="54"/>
      <c r="T154" s="5"/>
      <c r="U154" s="6"/>
    </row>
    <row r="155" spans="2:21" ht="17.25" customHeight="1" x14ac:dyDescent="0.25">
      <c r="B155" s="4"/>
      <c r="C155" s="5"/>
      <c r="D155" s="5"/>
      <c r="E155" s="5"/>
      <c r="F155" s="5"/>
      <c r="G155" s="5"/>
      <c r="H155" s="5"/>
      <c r="I155" s="5" t="s">
        <v>661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6"/>
    </row>
    <row r="156" spans="2:21" ht="17.25" customHeight="1" x14ac:dyDescent="0.25">
      <c r="B156" s="4"/>
      <c r="C156" s="5"/>
      <c r="D156" s="5"/>
      <c r="E156" s="5"/>
      <c r="F156" s="213">
        <f>((G109*G112)/((0.9*S96/1000*IF(U105="Tip-2",1000,S94*10)*2)))*IF(U105="Tip-2",0.8,1)</f>
        <v>2604.1666666666665</v>
      </c>
      <c r="G156" s="213"/>
      <c r="H156" s="213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6"/>
    </row>
    <row r="157" spans="2:21" ht="17.25" customHeight="1" thickBot="1" x14ac:dyDescent="0.3">
      <c r="B157" s="7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31"/>
    </row>
    <row r="158" spans="2:21" ht="17.25" customHeight="1" thickBot="1" x14ac:dyDescent="0.3">
      <c r="B158" s="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6"/>
    </row>
    <row r="159" spans="2:21" ht="17.25" customHeight="1" x14ac:dyDescent="0.25">
      <c r="B159" s="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2"/>
    </row>
    <row r="160" spans="2:21" ht="17.25" customHeight="1" x14ac:dyDescent="0.25">
      <c r="B160" s="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6"/>
    </row>
    <row r="161" spans="2:21" ht="17.25" customHeight="1" x14ac:dyDescent="0.25">
      <c r="B161" s="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6"/>
    </row>
    <row r="162" spans="2:21" ht="17.25" customHeight="1" x14ac:dyDescent="0.25">
      <c r="B162" s="4"/>
      <c r="C162" s="5"/>
      <c r="D162" s="5"/>
      <c r="E162" s="5"/>
      <c r="F162" s="213">
        <f>IF(U105="Tip-1","Tip-1",(3.16*SQRT((G94*G97)/(S96/1000*K154*10*2)))*IF(U105="Tip-3",0.8,1))</f>
        <v>832.73311717767342</v>
      </c>
      <c r="G162" s="213"/>
      <c r="H162" s="213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6"/>
    </row>
    <row r="163" spans="2:21" ht="17.25" customHeight="1" x14ac:dyDescent="0.25">
      <c r="B163" s="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6"/>
    </row>
    <row r="164" spans="2:21" ht="17.25" customHeight="1" x14ac:dyDescent="0.25">
      <c r="B164" s="4"/>
      <c r="C164" s="5"/>
      <c r="D164" s="5"/>
      <c r="E164" s="5"/>
      <c r="F164" s="213">
        <f>IF(U105="Tip-1","Tip-1",(0.835*POWER((G93*G96/(S96/1000*K154*10)),1/3))*IF(U105="Tip-3",0.8,1))</f>
        <v>1011.5304633432247</v>
      </c>
      <c r="G164" s="213"/>
      <c r="H164" s="5"/>
      <c r="I164" s="5"/>
      <c r="J164" s="52" t="s">
        <v>645</v>
      </c>
      <c r="K164" s="179">
        <v>80</v>
      </c>
      <c r="L164" s="179"/>
      <c r="M164" s="179"/>
      <c r="N164" s="53" t="s">
        <v>640</v>
      </c>
      <c r="O164" s="54"/>
      <c r="P164" s="54"/>
      <c r="Q164" s="54"/>
      <c r="R164" s="5"/>
      <c r="S164" s="5"/>
      <c r="T164" s="5"/>
      <c r="U164" s="6"/>
    </row>
    <row r="165" spans="2:21" ht="17.25" customHeight="1" x14ac:dyDescent="0.25">
      <c r="B165" s="4"/>
      <c r="C165" s="5"/>
      <c r="D165" s="5"/>
      <c r="E165" s="5"/>
      <c r="F165" s="5"/>
      <c r="G165" s="5"/>
      <c r="H165" s="5"/>
      <c r="I165" s="5" t="s">
        <v>739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6"/>
    </row>
    <row r="166" spans="2:21" ht="17.25" customHeight="1" x14ac:dyDescent="0.25">
      <c r="B166" s="4"/>
      <c r="C166" s="5"/>
      <c r="D166" s="5"/>
      <c r="E166" s="5"/>
      <c r="F166" s="213">
        <f>IF(U105="Tip-1","Tip-1",(G95*G98/(0.9*S96/1000*K154*10*2))*IF(U105="Tip-3",0.8,1))</f>
        <v>1041.6666666666667</v>
      </c>
      <c r="G166" s="213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6"/>
    </row>
    <row r="167" spans="2:21" ht="17.25" customHeight="1" thickBot="1" x14ac:dyDescent="0.3">
      <c r="B167" s="7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31"/>
    </row>
    <row r="168" spans="2:21" ht="17.25" customHeight="1" thickBot="1" x14ac:dyDescent="0.3"/>
    <row r="169" spans="2:21" ht="17.25" customHeight="1" thickBot="1" x14ac:dyDescent="0.3">
      <c r="B169" s="223" t="s">
        <v>734</v>
      </c>
      <c r="C169" s="224"/>
      <c r="D169" s="224"/>
      <c r="E169" s="224"/>
      <c r="F169" s="224"/>
      <c r="G169" s="224"/>
      <c r="H169" s="224"/>
      <c r="I169" s="224"/>
      <c r="J169" s="224"/>
      <c r="K169" s="224"/>
      <c r="L169" s="224"/>
      <c r="M169" s="224"/>
      <c r="N169" s="224"/>
      <c r="O169" s="224"/>
      <c r="P169" s="224"/>
      <c r="Q169" s="224"/>
      <c r="R169" s="224"/>
      <c r="S169" s="224"/>
      <c r="T169" s="224"/>
      <c r="U169" s="225"/>
    </row>
    <row r="170" spans="2:21" ht="17.25" customHeight="1" x14ac:dyDescent="0.25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2"/>
    </row>
    <row r="171" spans="2:21" ht="17.25" customHeight="1" x14ac:dyDescent="0.25">
      <c r="B171" s="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6"/>
    </row>
    <row r="172" spans="2:21" ht="17.25" customHeight="1" x14ac:dyDescent="0.25">
      <c r="B172" s="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6"/>
    </row>
    <row r="173" spans="2:21" ht="17.25" customHeight="1" x14ac:dyDescent="0.25">
      <c r="B173" s="4"/>
      <c r="C173" s="5"/>
      <c r="D173" s="5"/>
      <c r="E173" s="5"/>
      <c r="F173" s="213">
        <f>3.16*SQRT((S108*S111)/((S96/2)/1000*S113*2))</f>
        <v>1068.1445653562068</v>
      </c>
      <c r="G173" s="213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6"/>
    </row>
    <row r="174" spans="2:21" ht="17.25" customHeight="1" x14ac:dyDescent="0.25">
      <c r="B174" s="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6"/>
    </row>
    <row r="175" spans="2:21" ht="17.25" customHeight="1" x14ac:dyDescent="0.25">
      <c r="B175" s="4"/>
      <c r="C175" s="5"/>
      <c r="D175" s="5"/>
      <c r="E175" s="5"/>
      <c r="F175" s="213">
        <f>0.835*POWER((S107*S110/((S96/2)/1000*S113)),1/3)</f>
        <v>706.57416307878384</v>
      </c>
      <c r="G175" s="213"/>
      <c r="H175" s="5"/>
      <c r="I175" s="5"/>
      <c r="J175" s="52" t="s">
        <v>644</v>
      </c>
      <c r="K175" s="179">
        <v>65</v>
      </c>
      <c r="L175" s="179"/>
      <c r="M175" s="179"/>
      <c r="N175" s="53" t="s">
        <v>639</v>
      </c>
      <c r="O175" s="54"/>
      <c r="P175" s="54"/>
      <c r="Q175" s="54"/>
      <c r="R175" s="54"/>
      <c r="S175" s="54"/>
      <c r="T175" s="5"/>
      <c r="U175" s="6"/>
    </row>
    <row r="176" spans="2:21" ht="17.25" customHeight="1" x14ac:dyDescent="0.25">
      <c r="B176" s="4"/>
      <c r="C176" s="5"/>
      <c r="D176" s="5"/>
      <c r="E176" s="5"/>
      <c r="F176" s="5"/>
      <c r="G176" s="5"/>
      <c r="H176" s="5"/>
      <c r="I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6"/>
    </row>
    <row r="177" spans="2:21" ht="17.25" customHeight="1" x14ac:dyDescent="0.25">
      <c r="B177" s="4"/>
      <c r="C177" s="5"/>
      <c r="D177" s="5"/>
      <c r="E177" s="5"/>
      <c r="F177" s="213">
        <f>(S109*S112)/((0.9*(S96/2)/1000*S113*2))</f>
        <v>6510.416666666667</v>
      </c>
      <c r="G177" s="213"/>
      <c r="H177" s="213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6"/>
    </row>
    <row r="178" spans="2:21" ht="17.25" customHeight="1" thickBot="1" x14ac:dyDescent="0.3">
      <c r="B178" s="7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31"/>
    </row>
    <row r="183" spans="2:21" ht="17.25" customHeight="1" thickBot="1" x14ac:dyDescent="0.3"/>
    <row r="184" spans="2:21" ht="17.25" customHeight="1" x14ac:dyDescent="0.25">
      <c r="B184" s="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2"/>
    </row>
    <row r="185" spans="2:21" ht="17.25" customHeight="1" x14ac:dyDescent="0.25">
      <c r="B185" s="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6"/>
    </row>
    <row r="186" spans="2:21" ht="17.25" customHeight="1" x14ac:dyDescent="0.25">
      <c r="B186" s="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6"/>
    </row>
    <row r="187" spans="2:21" ht="17.25" customHeight="1" x14ac:dyDescent="0.25">
      <c r="B187" s="4"/>
      <c r="C187" s="5"/>
      <c r="D187" s="5"/>
      <c r="E187" s="5"/>
      <c r="F187" s="213">
        <f>3.16*SQRT((G94*G97)/((S96/2)/1000*K175*10*2))</f>
        <v>1291.0978896597114</v>
      </c>
      <c r="G187" s="213"/>
      <c r="H187" s="213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6"/>
    </row>
    <row r="188" spans="2:21" ht="17.25" customHeight="1" x14ac:dyDescent="0.25">
      <c r="B188" s="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6"/>
    </row>
    <row r="189" spans="2:21" ht="17.25" customHeight="1" x14ac:dyDescent="0.25">
      <c r="B189" s="4"/>
      <c r="C189" s="5"/>
      <c r="D189" s="5"/>
      <c r="E189" s="5"/>
      <c r="F189" s="213">
        <f>0.835*POWER((G93*G96/((S96/2)/1000*K175*10)),1/3)</f>
        <v>1459.6582760846716</v>
      </c>
      <c r="G189" s="213"/>
      <c r="H189" s="5"/>
      <c r="I189" s="5"/>
      <c r="J189" s="52" t="s">
        <v>645</v>
      </c>
      <c r="K189" s="179">
        <v>30</v>
      </c>
      <c r="L189" s="179"/>
      <c r="M189" s="179"/>
      <c r="N189" s="53" t="s">
        <v>640</v>
      </c>
      <c r="O189" s="54"/>
      <c r="P189" s="54"/>
      <c r="Q189" s="54"/>
      <c r="R189" s="5"/>
      <c r="S189" s="5"/>
      <c r="T189" s="5"/>
      <c r="U189" s="6"/>
    </row>
    <row r="190" spans="2:21" ht="17.25" customHeight="1" x14ac:dyDescent="0.25">
      <c r="B190" s="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6"/>
    </row>
    <row r="191" spans="2:21" ht="17.25" customHeight="1" x14ac:dyDescent="0.25">
      <c r="B191" s="4"/>
      <c r="C191" s="5"/>
      <c r="D191" s="5"/>
      <c r="E191" s="5"/>
      <c r="F191" s="213">
        <f>(G95*G98/(0.9*(S96/2)/1000*K175*10*2))</f>
        <v>2003.2051282051282</v>
      </c>
      <c r="G191" s="213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6"/>
    </row>
    <row r="192" spans="2:21" ht="17.25" customHeight="1" thickBot="1" x14ac:dyDescent="0.3">
      <c r="B192" s="7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31"/>
    </row>
    <row r="193" spans="2:25" ht="17.25" customHeight="1" thickBot="1" x14ac:dyDescent="0.3"/>
    <row r="194" spans="2:25" ht="17.25" customHeight="1" thickBot="1" x14ac:dyDescent="0.3">
      <c r="B194" s="223" t="s">
        <v>736</v>
      </c>
      <c r="C194" s="224"/>
      <c r="D194" s="224"/>
      <c r="E194" s="224"/>
      <c r="F194" s="224"/>
      <c r="G194" s="224"/>
      <c r="H194" s="224"/>
      <c r="I194" s="224"/>
      <c r="J194" s="224"/>
      <c r="K194" s="224"/>
      <c r="L194" s="224"/>
      <c r="M194" s="224"/>
      <c r="N194" s="224"/>
      <c r="O194" s="224"/>
      <c r="P194" s="224"/>
      <c r="Q194" s="224"/>
      <c r="R194" s="224"/>
      <c r="S194" s="224"/>
      <c r="T194" s="224"/>
      <c r="U194" s="224"/>
      <c r="V194" s="224"/>
      <c r="W194" s="224"/>
      <c r="X194" s="224"/>
      <c r="Y194" s="225"/>
    </row>
    <row r="195" spans="2:25" ht="17.25" customHeight="1" x14ac:dyDescent="0.25">
      <c r="B195" s="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6"/>
    </row>
    <row r="196" spans="2:25" ht="17.25" customHeight="1" x14ac:dyDescent="0.25">
      <c r="B196" s="4"/>
      <c r="C196" s="5"/>
      <c r="D196" s="5"/>
      <c r="E196" s="5"/>
      <c r="F196" s="49" t="s">
        <v>662</v>
      </c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6"/>
    </row>
    <row r="197" spans="2:25" ht="17.25" customHeight="1" x14ac:dyDescent="0.25">
      <c r="B197" s="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6"/>
    </row>
    <row r="198" spans="2:25" ht="17.25" customHeight="1" x14ac:dyDescent="0.25">
      <c r="B198" s="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6"/>
    </row>
    <row r="199" spans="2:25" ht="17.25" customHeight="1" x14ac:dyDescent="0.25">
      <c r="B199" s="4"/>
      <c r="C199" s="5"/>
      <c r="D199" s="5"/>
      <c r="E199" s="5"/>
      <c r="F199" s="49" t="s">
        <v>663</v>
      </c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6"/>
    </row>
    <row r="200" spans="2:25" ht="17.25" customHeight="1" x14ac:dyDescent="0.25">
      <c r="B200" s="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6"/>
    </row>
    <row r="201" spans="2:25" ht="17.25" customHeight="1" thickBot="1" x14ac:dyDescent="0.3">
      <c r="B201" s="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6"/>
    </row>
    <row r="202" spans="2:25" ht="17.25" customHeight="1" x14ac:dyDescent="0.25">
      <c r="B202" s="300" t="s">
        <v>657</v>
      </c>
      <c r="C202" s="301"/>
      <c r="D202" s="301"/>
      <c r="E202" s="301"/>
      <c r="F202" s="301"/>
      <c r="G202" s="308"/>
      <c r="H202" s="5"/>
      <c r="I202" s="300" t="s">
        <v>659</v>
      </c>
      <c r="J202" s="301"/>
      <c r="K202" s="301"/>
      <c r="L202" s="301"/>
      <c r="M202" s="301"/>
      <c r="N202" s="301"/>
      <c r="O202" s="301"/>
      <c r="P202" s="308"/>
      <c r="Q202" s="5"/>
      <c r="R202" s="5"/>
      <c r="S202" s="300" t="s">
        <v>665</v>
      </c>
      <c r="T202" s="301"/>
      <c r="U202" s="301"/>
      <c r="V202" s="301"/>
      <c r="W202" s="301"/>
      <c r="X202" s="301"/>
      <c r="Y202" s="32"/>
    </row>
    <row r="203" spans="2:25" ht="17.25" customHeight="1" thickBot="1" x14ac:dyDescent="0.3">
      <c r="B203" s="7"/>
      <c r="C203" s="8"/>
      <c r="D203" s="71" t="s">
        <v>658</v>
      </c>
      <c r="E203" s="307">
        <f>K154</f>
        <v>50</v>
      </c>
      <c r="F203" s="307"/>
      <c r="G203" s="31"/>
      <c r="H203" s="5"/>
      <c r="I203" s="4"/>
      <c r="J203" s="5"/>
      <c r="K203" s="5"/>
      <c r="L203" s="5"/>
      <c r="M203" s="5"/>
      <c r="N203" s="5"/>
      <c r="O203" s="5"/>
      <c r="P203" s="6"/>
      <c r="Q203" s="5"/>
      <c r="R203" s="5"/>
      <c r="S203" s="4"/>
      <c r="T203" s="5"/>
      <c r="U203" s="5"/>
      <c r="V203" s="5"/>
      <c r="W203" s="5"/>
      <c r="X203" s="5"/>
      <c r="Y203" s="6"/>
    </row>
    <row r="204" spans="2:25" ht="17.25" customHeight="1" x14ac:dyDescent="0.25">
      <c r="B204" s="4"/>
      <c r="C204" s="5"/>
      <c r="D204" s="5"/>
      <c r="E204" s="213"/>
      <c r="F204" s="213"/>
      <c r="G204" s="213"/>
      <c r="H204" s="5"/>
      <c r="I204" s="4"/>
      <c r="J204" s="5"/>
      <c r="K204" s="5"/>
      <c r="L204" s="5"/>
      <c r="M204" s="213">
        <f>(2*SQRT((G101*G104)/(P103*S96/1000*K164*10*2)))</f>
        <v>520.83333333333337</v>
      </c>
      <c r="N204" s="213"/>
      <c r="O204" s="213"/>
      <c r="P204" s="297"/>
      <c r="Q204" s="5"/>
      <c r="R204" s="5"/>
      <c r="S204" s="4"/>
      <c r="T204" s="5"/>
      <c r="U204" s="5"/>
      <c r="V204" s="213">
        <f>4.5*SQRT((G101*G104)/(P103*S96/1000*K164*10*2))</f>
        <v>1171.875</v>
      </c>
      <c r="W204" s="213"/>
      <c r="X204" s="213"/>
      <c r="Y204" s="297"/>
    </row>
    <row r="205" spans="2:25" ht="17.25" customHeight="1" x14ac:dyDescent="0.25">
      <c r="B205" s="4"/>
      <c r="C205" s="5"/>
      <c r="D205" s="5"/>
      <c r="E205" s="30"/>
      <c r="F205" s="30"/>
      <c r="G205" s="30"/>
      <c r="H205" s="5"/>
      <c r="I205" s="4"/>
      <c r="J205" s="5"/>
      <c r="K205" s="5"/>
      <c r="L205" s="30"/>
      <c r="M205" s="30"/>
      <c r="N205" s="30"/>
      <c r="O205" s="30"/>
      <c r="P205" s="70"/>
      <c r="Q205" s="5"/>
      <c r="R205" s="5"/>
      <c r="S205" s="4"/>
      <c r="T205" s="5"/>
      <c r="U205" s="5"/>
      <c r="V205" s="30"/>
      <c r="W205" s="30"/>
      <c r="X205" s="30"/>
      <c r="Y205" s="6"/>
    </row>
    <row r="206" spans="2:25" ht="17.25" customHeight="1" x14ac:dyDescent="0.25">
      <c r="B206" s="4"/>
      <c r="C206" s="5"/>
      <c r="D206" s="5"/>
      <c r="E206" s="213"/>
      <c r="F206" s="213"/>
      <c r="G206" s="213"/>
      <c r="H206" s="5"/>
      <c r="I206" s="4"/>
      <c r="J206" s="5"/>
      <c r="K206" s="5"/>
      <c r="L206" s="5"/>
      <c r="M206" s="213">
        <f>(0.6*POWER((G100*G103/(P103*S96/1000*K164*10)),1/3))</f>
        <v>776.80812648846438</v>
      </c>
      <c r="N206" s="213"/>
      <c r="O206" s="213"/>
      <c r="P206" s="297"/>
      <c r="Q206" s="5"/>
      <c r="R206" s="5"/>
      <c r="S206" s="4"/>
      <c r="T206" s="5"/>
      <c r="U206" s="5"/>
      <c r="V206" s="213">
        <f>POWER((G100*G103/(P103*S96/1000*K154*10)),1/3)</f>
        <v>1514.26716069345</v>
      </c>
      <c r="W206" s="213"/>
      <c r="X206" s="213"/>
      <c r="Y206" s="297"/>
    </row>
    <row r="207" spans="2:25" ht="17.25" customHeight="1" x14ac:dyDescent="0.25">
      <c r="B207" s="4"/>
      <c r="C207" s="5"/>
      <c r="D207" s="5"/>
      <c r="E207" s="30"/>
      <c r="F207" s="30"/>
      <c r="G207" s="30"/>
      <c r="H207" s="5"/>
      <c r="I207" s="4"/>
      <c r="J207" s="5"/>
      <c r="K207" s="5"/>
      <c r="L207" s="30"/>
      <c r="M207" s="30"/>
      <c r="N207" s="30"/>
      <c r="O207" s="30"/>
      <c r="P207" s="70"/>
      <c r="Q207" s="5"/>
      <c r="R207" s="5"/>
      <c r="S207" s="4"/>
      <c r="T207" s="5"/>
      <c r="U207" s="5"/>
      <c r="V207" s="30"/>
      <c r="W207" s="30"/>
      <c r="X207" s="30"/>
      <c r="Y207" s="6"/>
    </row>
    <row r="208" spans="2:25" ht="17.25" customHeight="1" x14ac:dyDescent="0.25">
      <c r="B208" s="4"/>
      <c r="C208" s="5"/>
      <c r="D208" s="5"/>
      <c r="E208" s="213"/>
      <c r="F208" s="213"/>
      <c r="G208" s="213"/>
      <c r="H208" s="5"/>
      <c r="I208" s="4"/>
      <c r="J208" s="5"/>
      <c r="K208" s="5"/>
      <c r="L208" s="5"/>
      <c r="M208" s="213">
        <f>0.6*(G102*G105/(P103*S96/1000*K164*10*2))</f>
        <v>439.45312500000006</v>
      </c>
      <c r="N208" s="213"/>
      <c r="O208" s="213"/>
      <c r="P208" s="297"/>
      <c r="Q208" s="5"/>
      <c r="R208" s="5"/>
      <c r="S208" s="4"/>
      <c r="T208" s="5"/>
      <c r="U208" s="5"/>
      <c r="V208" s="213">
        <f>2.2*(G102*G105/(P103*S96/1000*K164*10*2))</f>
        <v>1611.3281250000005</v>
      </c>
      <c r="W208" s="213"/>
      <c r="X208" s="213"/>
      <c r="Y208" s="297"/>
    </row>
    <row r="209" spans="2:37" ht="17.25" customHeight="1" x14ac:dyDescent="0.25">
      <c r="B209" s="4"/>
      <c r="C209" s="5"/>
      <c r="D209" s="5"/>
      <c r="E209" s="30"/>
      <c r="F209" s="30"/>
      <c r="G209" s="30"/>
      <c r="H209" s="5"/>
      <c r="I209" s="4"/>
      <c r="J209" s="5"/>
      <c r="K209" s="5"/>
      <c r="L209" s="30"/>
      <c r="M209" s="30"/>
      <c r="N209" s="30"/>
      <c r="O209" s="30"/>
      <c r="P209" s="70"/>
      <c r="Q209" s="5"/>
      <c r="R209" s="5"/>
      <c r="S209" s="4"/>
      <c r="T209" s="5"/>
      <c r="U209" s="5"/>
      <c r="V209" s="30"/>
      <c r="W209" s="30"/>
      <c r="X209" s="30"/>
      <c r="Y209" s="6"/>
    </row>
    <row r="210" spans="2:37" ht="17.25" customHeight="1" x14ac:dyDescent="0.25">
      <c r="B210" s="4"/>
      <c r="C210" s="5"/>
      <c r="D210" s="5"/>
      <c r="E210" s="213"/>
      <c r="F210" s="213"/>
      <c r="G210" s="213"/>
      <c r="H210" s="5"/>
      <c r="I210" s="4"/>
      <c r="J210" s="5"/>
      <c r="K210" s="5"/>
      <c r="L210" s="5"/>
      <c r="M210" s="213">
        <f>(U9/(P103*S96*K164/100*2)*1000)</f>
        <v>406.90104166666669</v>
      </c>
      <c r="N210" s="213"/>
      <c r="O210" s="213"/>
      <c r="P210" s="297"/>
      <c r="Q210" s="5"/>
      <c r="R210" s="5"/>
      <c r="S210" s="4"/>
      <c r="T210" s="5"/>
      <c r="U210" s="5"/>
      <c r="V210" s="213">
        <f>(1.8*(2*U102)/(P103*S96*(K164/100)*2))*1000</f>
        <v>1464.84375</v>
      </c>
      <c r="W210" s="213"/>
      <c r="X210" s="213"/>
      <c r="Y210" s="297"/>
    </row>
    <row r="211" spans="2:37" ht="17.25" customHeight="1" x14ac:dyDescent="0.25">
      <c r="B211" s="4"/>
      <c r="C211" s="5"/>
      <c r="D211" s="5"/>
      <c r="E211" s="5"/>
      <c r="F211" s="5"/>
      <c r="G211" s="5"/>
      <c r="H211" s="5"/>
      <c r="I211" s="4"/>
      <c r="J211" s="5"/>
      <c r="K211" s="5"/>
      <c r="L211" s="5"/>
      <c r="M211" s="30"/>
      <c r="N211" s="30"/>
      <c r="O211" s="30"/>
      <c r="P211" s="70"/>
      <c r="Q211" s="5"/>
      <c r="R211" s="5"/>
      <c r="S211" s="4"/>
      <c r="T211" s="5"/>
      <c r="U211" s="5"/>
      <c r="V211" s="5"/>
      <c r="W211" s="5"/>
      <c r="X211" s="5"/>
      <c r="Y211" s="6"/>
    </row>
    <row r="212" spans="2:37" ht="17.25" customHeight="1" thickBot="1" x14ac:dyDescent="0.3">
      <c r="B212" s="4"/>
      <c r="C212" s="5"/>
      <c r="D212" s="5"/>
      <c r="E212" s="5"/>
      <c r="F212" s="5"/>
      <c r="G212" s="5"/>
      <c r="H212" s="5"/>
      <c r="I212" s="7"/>
      <c r="J212" s="8"/>
      <c r="K212" s="71" t="s">
        <v>658</v>
      </c>
      <c r="L212" s="307">
        <f>IF(MIN(M204,M206,M208,M210)&gt;K164*10,K164,MIN(M204,M206,M208,M210)/10)</f>
        <v>40.690104166666671</v>
      </c>
      <c r="M212" s="307"/>
      <c r="N212" s="307"/>
      <c r="O212" s="307"/>
      <c r="P212" s="31"/>
      <c r="Q212" s="5"/>
      <c r="R212" s="5"/>
      <c r="S212" s="7"/>
      <c r="T212" s="71" t="s">
        <v>658</v>
      </c>
      <c r="U212" s="307">
        <f>IF(MIN(V204,V206,V208,V210)&gt;K164*10,K164,MIN(V204,V206,V208,V210)/10)</f>
        <v>80</v>
      </c>
      <c r="V212" s="307"/>
      <c r="W212" s="8"/>
      <c r="X212" s="8"/>
      <c r="Y212" s="31"/>
    </row>
    <row r="213" spans="2:37" ht="17.25" customHeight="1" x14ac:dyDescent="0.25">
      <c r="B213" s="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6"/>
    </row>
    <row r="214" spans="2:37" ht="17.25" customHeight="1" x14ac:dyDescent="0.25">
      <c r="B214" s="4"/>
      <c r="C214" s="5"/>
      <c r="D214" s="5"/>
      <c r="E214" s="5"/>
      <c r="F214" s="5"/>
      <c r="G214" s="304" t="s">
        <v>657</v>
      </c>
      <c r="H214" s="304"/>
      <c r="I214" s="304" t="s">
        <v>659</v>
      </c>
      <c r="J214" s="304"/>
      <c r="K214" s="304"/>
      <c r="L214" s="304" t="s">
        <v>665</v>
      </c>
      <c r="M214" s="304"/>
      <c r="N214" s="304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6"/>
    </row>
    <row r="215" spans="2:37" ht="17.25" customHeight="1" x14ac:dyDescent="0.25">
      <c r="B215" s="12" t="s">
        <v>666</v>
      </c>
      <c r="C215" s="11"/>
      <c r="D215" s="11"/>
      <c r="E215" s="11"/>
      <c r="F215" s="11"/>
      <c r="G215" s="305">
        <v>1</v>
      </c>
      <c r="H215" s="305"/>
      <c r="I215" s="305">
        <v>2</v>
      </c>
      <c r="J215" s="305"/>
      <c r="K215" s="305"/>
      <c r="L215" s="305">
        <v>2</v>
      </c>
      <c r="M215" s="305"/>
      <c r="N215" s="30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6"/>
    </row>
    <row r="216" spans="2:37" ht="17.25" customHeight="1" x14ac:dyDescent="0.25">
      <c r="B216" s="12" t="s">
        <v>664</v>
      </c>
      <c r="C216" s="11"/>
      <c r="D216" s="11"/>
      <c r="E216" s="11"/>
      <c r="F216" s="11"/>
      <c r="G216" s="306">
        <f>2*K154/100*S96</f>
        <v>15.36</v>
      </c>
      <c r="H216" s="304"/>
      <c r="I216" s="306">
        <f>2*K164/100*S96/2</f>
        <v>12.288</v>
      </c>
      <c r="J216" s="306"/>
      <c r="K216" s="306"/>
      <c r="L216" s="306">
        <f>2*K154/100*U212/100*S96</f>
        <v>12.288</v>
      </c>
      <c r="M216" s="306"/>
      <c r="N216" s="306"/>
      <c r="O216" s="5" t="s">
        <v>672</v>
      </c>
      <c r="P216" s="5"/>
      <c r="Q216" s="5"/>
      <c r="R216" s="5"/>
      <c r="S216" s="5"/>
      <c r="T216" s="5"/>
      <c r="U216" s="5"/>
      <c r="V216" s="5"/>
      <c r="W216" s="5"/>
      <c r="X216" s="5"/>
      <c r="Y216" s="6"/>
    </row>
    <row r="217" spans="2:37" ht="17.25" customHeight="1" thickBot="1" x14ac:dyDescent="0.3">
      <c r="B217" s="74" t="s">
        <v>158</v>
      </c>
      <c r="C217" s="75"/>
      <c r="D217" s="75"/>
      <c r="E217" s="75"/>
      <c r="F217" s="75"/>
      <c r="G217" s="302">
        <f>U102</f>
        <v>20</v>
      </c>
      <c r="H217" s="303"/>
      <c r="I217" s="302">
        <f>U102</f>
        <v>20</v>
      </c>
      <c r="J217" s="302"/>
      <c r="K217" s="302"/>
      <c r="L217" s="302">
        <f>U102</f>
        <v>20</v>
      </c>
      <c r="M217" s="302"/>
      <c r="N217" s="302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31"/>
    </row>
    <row r="218" spans="2:37" ht="17.25" customHeight="1" thickBot="1" x14ac:dyDescent="0.3"/>
    <row r="219" spans="2:37" ht="17.25" customHeight="1" thickBot="1" x14ac:dyDescent="0.3">
      <c r="B219" s="164" t="s">
        <v>733</v>
      </c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6"/>
      <c r="AI219" s="161" t="s">
        <v>696</v>
      </c>
      <c r="AJ219" s="162"/>
    </row>
    <row r="220" spans="2:37" ht="17.25" customHeight="1" x14ac:dyDescent="0.25">
      <c r="B220" s="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2"/>
      <c r="AF220" s="158" t="s">
        <v>695</v>
      </c>
      <c r="AG220" s="159"/>
      <c r="AH220" s="160"/>
      <c r="AI220" s="167">
        <v>90</v>
      </c>
      <c r="AJ220" s="168"/>
      <c r="AK220" s="136"/>
    </row>
    <row r="221" spans="2:37" ht="17.25" customHeight="1" x14ac:dyDescent="0.25">
      <c r="B221" s="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6"/>
      <c r="AF221" s="158" t="s">
        <v>697</v>
      </c>
      <c r="AG221" s="159"/>
      <c r="AH221" s="160"/>
      <c r="AI221" s="167">
        <v>30</v>
      </c>
      <c r="AJ221" s="168"/>
      <c r="AK221" s="88"/>
    </row>
    <row r="222" spans="2:37" ht="17.25" customHeight="1" x14ac:dyDescent="0.25">
      <c r="B222" s="4"/>
      <c r="C222" s="5"/>
      <c r="D222" s="5"/>
      <c r="E222" s="5"/>
      <c r="F222" s="213">
        <f>3.16*SQRT((G101*G104)/((S96/2)/1000*K189*10*2))</f>
        <v>2687.6345788870985</v>
      </c>
      <c r="G222" s="213"/>
      <c r="H222" s="213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6"/>
    </row>
    <row r="223" spans="2:37" ht="17.25" customHeight="1" x14ac:dyDescent="0.25">
      <c r="B223" s="4"/>
      <c r="C223" s="5"/>
      <c r="D223" s="5"/>
      <c r="E223" s="5"/>
      <c r="F223" s="5"/>
      <c r="G223" s="5"/>
      <c r="H223" s="5"/>
      <c r="I223" s="226" t="s">
        <v>698</v>
      </c>
      <c r="J223" s="227"/>
      <c r="K223" s="227"/>
      <c r="L223" s="228" t="s">
        <v>697</v>
      </c>
      <c r="M223" s="228"/>
      <c r="N223" s="228"/>
      <c r="O223" s="228"/>
      <c r="P223" s="229"/>
      <c r="Q223" s="5"/>
      <c r="R223" s="5"/>
      <c r="S223" s="5"/>
      <c r="T223" s="5"/>
      <c r="U223" s="6"/>
    </row>
    <row r="224" spans="2:37" ht="17.25" customHeight="1" x14ac:dyDescent="0.25">
      <c r="B224" s="4"/>
      <c r="C224" s="5"/>
      <c r="D224" s="5"/>
      <c r="E224" s="5"/>
      <c r="F224" s="213">
        <f>0.835*POWER((G100*G103/((S96/2)/1000*K189*10)),1/3)</f>
        <v>2379.7165257917363</v>
      </c>
      <c r="G224" s="213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6"/>
    </row>
    <row r="225" spans="2:52" ht="17.25" customHeight="1" x14ac:dyDescent="0.25">
      <c r="B225" s="4"/>
      <c r="C225" s="5"/>
      <c r="D225" s="5"/>
      <c r="E225" s="5"/>
      <c r="F225" s="5"/>
      <c r="G225" s="5"/>
      <c r="H225" s="5"/>
      <c r="I225" s="5"/>
      <c r="J225" s="52" t="s">
        <v>699</v>
      </c>
      <c r="K225" s="179">
        <v>200</v>
      </c>
      <c r="L225" s="179"/>
      <c r="M225" s="179"/>
      <c r="N225" s="53" t="s">
        <v>700</v>
      </c>
      <c r="O225" s="54"/>
      <c r="P225" s="54"/>
      <c r="Q225" s="54"/>
      <c r="R225" s="5"/>
      <c r="S225" s="5"/>
      <c r="T225" s="5"/>
      <c r="U225" s="6"/>
    </row>
    <row r="226" spans="2:52" ht="17.25" customHeight="1" x14ac:dyDescent="0.25">
      <c r="B226" s="4"/>
      <c r="C226" s="5"/>
      <c r="D226" s="5"/>
      <c r="E226" s="5"/>
      <c r="F226" s="213">
        <f>(G102*G105/(0.9*((S96/2)/1000)*(K189*10)*2))</f>
        <v>8680.5555555555566</v>
      </c>
      <c r="G226" s="213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6"/>
      <c r="Y226" s="11"/>
    </row>
    <row r="227" spans="2:52" ht="17.25" customHeight="1" x14ac:dyDescent="0.25">
      <c r="B227" s="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6"/>
    </row>
    <row r="228" spans="2:52" ht="17.25" customHeight="1" x14ac:dyDescent="0.25">
      <c r="B228" s="4"/>
      <c r="C228" s="5"/>
      <c r="D228" s="5"/>
      <c r="E228" s="5"/>
      <c r="F228" s="213">
        <f>((INDEX(AF220:AJ221,MATCH(L223,AF220:AF221,0),4))/(1.1*(S96/2)*(K189/100)*2))*1000</f>
        <v>5918.5606060606051</v>
      </c>
      <c r="G228" s="213"/>
      <c r="H228" s="213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6"/>
    </row>
    <row r="229" spans="2:52" ht="17.25" customHeight="1" thickBot="1" x14ac:dyDescent="0.3">
      <c r="B229" s="7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31"/>
    </row>
    <row r="230" spans="2:52" ht="17.25" customHeight="1" thickBot="1" x14ac:dyDescent="0.3"/>
    <row r="231" spans="2:52" ht="17.25" customHeight="1" x14ac:dyDescent="0.25">
      <c r="B231" s="191" t="s">
        <v>676</v>
      </c>
      <c r="C231" s="191"/>
      <c r="D231" s="191"/>
      <c r="E231" s="191"/>
      <c r="F231" s="191"/>
      <c r="G231" s="191"/>
      <c r="H231" s="191"/>
      <c r="I231" s="191"/>
      <c r="J231" s="191"/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91"/>
      <c r="AE231" s="84"/>
      <c r="AF231" s="85"/>
      <c r="AG231" s="85"/>
      <c r="AH231" s="85"/>
      <c r="AI231" s="85"/>
      <c r="AJ231" s="265" t="s">
        <v>5</v>
      </c>
      <c r="AK231" s="265"/>
      <c r="AL231" s="265" t="s">
        <v>6</v>
      </c>
      <c r="AM231" s="265"/>
      <c r="AN231" s="265" t="s">
        <v>7</v>
      </c>
      <c r="AO231" s="265"/>
      <c r="AP231" s="265" t="s">
        <v>8</v>
      </c>
      <c r="AQ231" s="265"/>
      <c r="AR231" s="265" t="s">
        <v>164</v>
      </c>
      <c r="AS231" s="265"/>
      <c r="AT231" s="265" t="s">
        <v>627</v>
      </c>
      <c r="AU231" s="266"/>
    </row>
    <row r="232" spans="2:52" ht="17.25" customHeight="1" thickBot="1" x14ac:dyDescent="0.3">
      <c r="AE232" s="86" t="s">
        <v>28</v>
      </c>
      <c r="AF232" s="87"/>
      <c r="AG232" s="87"/>
      <c r="AH232" s="87"/>
      <c r="AI232" s="88"/>
      <c r="AJ232" s="261">
        <v>3830</v>
      </c>
      <c r="AK232" s="261"/>
      <c r="AL232" s="261">
        <v>13</v>
      </c>
      <c r="AM232" s="261"/>
      <c r="AN232" s="261">
        <v>2</v>
      </c>
      <c r="AO232" s="261"/>
      <c r="AP232" s="261">
        <f>1000*18*18*18/12</f>
        <v>486000</v>
      </c>
      <c r="AQ232" s="261"/>
      <c r="AR232" s="261">
        <f>18*1000</f>
        <v>18000</v>
      </c>
      <c r="AS232" s="261"/>
      <c r="AT232" s="261">
        <f>AP232/9</f>
        <v>54000</v>
      </c>
      <c r="AU232" s="262"/>
    </row>
    <row r="233" spans="2:52" ht="17.25" customHeight="1" x14ac:dyDescent="0.25">
      <c r="B233" s="267" t="s">
        <v>3</v>
      </c>
      <c r="C233" s="268"/>
      <c r="D233" s="268"/>
      <c r="E233" s="268"/>
      <c r="F233" s="268"/>
      <c r="G233" s="268"/>
      <c r="H233" s="60"/>
      <c r="I233" s="60"/>
      <c r="J233" s="61"/>
      <c r="S233" s="46" t="s">
        <v>623</v>
      </c>
      <c r="T233" s="47"/>
      <c r="U233" s="47"/>
      <c r="V233" s="47"/>
      <c r="W233" s="47"/>
      <c r="X233" s="47"/>
      <c r="Y233" s="32"/>
      <c r="AE233" s="86" t="s">
        <v>154</v>
      </c>
      <c r="AF233" s="87"/>
      <c r="AG233" s="87"/>
      <c r="AH233" s="87"/>
      <c r="AI233" s="88"/>
      <c r="AJ233" s="261">
        <v>4453</v>
      </c>
      <c r="AK233" s="261"/>
      <c r="AL233" s="261">
        <v>14.3</v>
      </c>
      <c r="AM233" s="261"/>
      <c r="AN233" s="261">
        <v>2.2000000000000002</v>
      </c>
      <c r="AO233" s="261"/>
      <c r="AP233" s="261">
        <f>1000*21*21*21/12</f>
        <v>771750</v>
      </c>
      <c r="AQ233" s="261"/>
      <c r="AR233" s="261">
        <f>21*1000</f>
        <v>21000</v>
      </c>
      <c r="AS233" s="261"/>
      <c r="AT233" s="261">
        <f>AP233/10.5</f>
        <v>73500</v>
      </c>
      <c r="AU233" s="262"/>
    </row>
    <row r="234" spans="2:52" ht="17.25" customHeight="1" x14ac:dyDescent="0.25">
      <c r="B234" s="218" t="s">
        <v>1</v>
      </c>
      <c r="C234" s="219"/>
      <c r="D234" s="219"/>
      <c r="E234" s="219"/>
      <c r="F234" s="219"/>
      <c r="G234" s="219"/>
      <c r="H234" s="169" t="s">
        <v>11</v>
      </c>
      <c r="I234" s="169"/>
      <c r="J234" s="170"/>
      <c r="S234" s="218" t="s">
        <v>624</v>
      </c>
      <c r="T234" s="219"/>
      <c r="U234" s="219"/>
      <c r="V234" s="219"/>
      <c r="W234" s="249">
        <v>2</v>
      </c>
      <c r="X234" s="249"/>
      <c r="Y234" s="250"/>
      <c r="AE234" s="86" t="s">
        <v>29</v>
      </c>
      <c r="AF234" s="87"/>
      <c r="AG234" s="87"/>
      <c r="AH234" s="87"/>
      <c r="AI234" s="88"/>
      <c r="AJ234" s="261">
        <v>1400</v>
      </c>
      <c r="AK234" s="261"/>
      <c r="AL234" s="261">
        <v>10</v>
      </c>
      <c r="AM234" s="261"/>
      <c r="AN234" s="261">
        <v>1.8</v>
      </c>
      <c r="AO234" s="261"/>
      <c r="AP234" s="261">
        <f>1000*18*18*18/12</f>
        <v>486000</v>
      </c>
      <c r="AQ234" s="261"/>
      <c r="AR234" s="261">
        <f>18*1000</f>
        <v>18000</v>
      </c>
      <c r="AS234" s="261"/>
      <c r="AT234" s="261">
        <f t="shared" ref="AT234:AT235" si="1">AP234/9</f>
        <v>54000</v>
      </c>
      <c r="AU234" s="262"/>
    </row>
    <row r="235" spans="2:52" ht="17.25" customHeight="1" x14ac:dyDescent="0.25">
      <c r="B235" s="218" t="s">
        <v>2</v>
      </c>
      <c r="C235" s="219"/>
      <c r="D235" s="219"/>
      <c r="E235" s="219"/>
      <c r="F235" s="219"/>
      <c r="G235" s="219"/>
      <c r="H235" s="269">
        <v>25</v>
      </c>
      <c r="I235" s="269"/>
      <c r="J235" s="270"/>
      <c r="S235" s="218" t="s">
        <v>625</v>
      </c>
      <c r="T235" s="219"/>
      <c r="U235" s="219"/>
      <c r="V235" s="219"/>
      <c r="W235" s="249">
        <v>2</v>
      </c>
      <c r="X235" s="249"/>
      <c r="Y235" s="250"/>
      <c r="AE235" s="86" t="s">
        <v>155</v>
      </c>
      <c r="AF235" s="87"/>
      <c r="AG235" s="87"/>
      <c r="AH235" s="87"/>
      <c r="AI235" s="88"/>
      <c r="AJ235" s="261">
        <v>1000</v>
      </c>
      <c r="AK235" s="261"/>
      <c r="AL235" s="261">
        <v>13</v>
      </c>
      <c r="AM235" s="261"/>
      <c r="AN235" s="261">
        <v>3</v>
      </c>
      <c r="AO235" s="261"/>
      <c r="AP235" s="261">
        <f>1000*18*18*18/12</f>
        <v>486000</v>
      </c>
      <c r="AQ235" s="261"/>
      <c r="AR235" s="261">
        <f>18*1000</f>
        <v>18000</v>
      </c>
      <c r="AS235" s="261"/>
      <c r="AT235" s="261">
        <f t="shared" si="1"/>
        <v>54000</v>
      </c>
      <c r="AU235" s="262"/>
    </row>
    <row r="236" spans="2:52" ht="17.25" customHeight="1" thickBot="1" x14ac:dyDescent="0.3">
      <c r="B236" s="218" t="s">
        <v>68</v>
      </c>
      <c r="C236" s="219"/>
      <c r="D236" s="219"/>
      <c r="E236" s="219"/>
      <c r="F236" s="219"/>
      <c r="G236" s="219"/>
      <c r="H236" s="169" t="s">
        <v>44</v>
      </c>
      <c r="I236" s="169"/>
      <c r="J236" s="170"/>
      <c r="S236" s="220" t="s">
        <v>626</v>
      </c>
      <c r="T236" s="221"/>
      <c r="U236" s="221"/>
      <c r="V236" s="221"/>
      <c r="W236" s="251">
        <v>20</v>
      </c>
      <c r="X236" s="251"/>
      <c r="Y236" s="252"/>
      <c r="AE236" s="86" t="s">
        <v>660</v>
      </c>
      <c r="AF236" s="87"/>
      <c r="AG236" s="87"/>
      <c r="AH236" s="87"/>
      <c r="AI236" s="88"/>
      <c r="AJ236" s="261">
        <f>INDEX($AF$22:$AR$33,MATCH($H$7,$AF$22:$AF$33,0),9)*1000</f>
        <v>6400</v>
      </c>
      <c r="AK236" s="261"/>
      <c r="AL236" s="261">
        <f>INDEX($AF$22:$AR$33,MATCH($H$7,$AF$22:$AF$33,0),2)</f>
        <v>20</v>
      </c>
      <c r="AM236" s="261"/>
      <c r="AN236" s="261">
        <f>INDEX($AF$22:$AR$33,MATCH($H$7,$AF$22:$AF$33,0),7)</f>
        <v>3.6</v>
      </c>
      <c r="AO236" s="261"/>
      <c r="AP236" s="261">
        <f>1000*30*30*30/12</f>
        <v>2250000</v>
      </c>
      <c r="AQ236" s="261"/>
      <c r="AR236" s="261">
        <f>30*1000</f>
        <v>30000</v>
      </c>
      <c r="AS236" s="261"/>
      <c r="AT236" s="261">
        <f>AP236/15</f>
        <v>150000</v>
      </c>
      <c r="AU236" s="262"/>
    </row>
    <row r="237" spans="2:52" ht="17.25" customHeight="1" thickBot="1" x14ac:dyDescent="0.3">
      <c r="B237" s="218" t="s">
        <v>69</v>
      </c>
      <c r="C237" s="219"/>
      <c r="D237" s="219"/>
      <c r="E237" s="219"/>
      <c r="F237" s="219"/>
      <c r="G237" s="219"/>
      <c r="H237" s="222" t="s">
        <v>70</v>
      </c>
      <c r="I237" s="222"/>
      <c r="J237" s="242"/>
      <c r="AE237" s="90"/>
      <c r="AF237" s="91"/>
      <c r="AG237" s="91"/>
      <c r="AH237" s="91"/>
      <c r="AI237" s="91"/>
      <c r="AJ237" s="263" t="s">
        <v>26</v>
      </c>
      <c r="AK237" s="263"/>
      <c r="AL237" s="263" t="s">
        <v>26</v>
      </c>
      <c r="AM237" s="263"/>
      <c r="AN237" s="263" t="s">
        <v>26</v>
      </c>
      <c r="AO237" s="263"/>
      <c r="AP237" s="259" t="s">
        <v>157</v>
      </c>
      <c r="AQ237" s="259"/>
      <c r="AR237" s="258" t="s">
        <v>39</v>
      </c>
      <c r="AS237" s="258"/>
      <c r="AT237" s="259" t="s">
        <v>628</v>
      </c>
      <c r="AU237" s="264"/>
    </row>
    <row r="238" spans="2:52" ht="17.25" customHeight="1" thickBot="1" x14ac:dyDescent="0.3">
      <c r="B238" s="214" t="s">
        <v>4</v>
      </c>
      <c r="C238" s="215"/>
      <c r="D238" s="215"/>
      <c r="E238" s="215"/>
      <c r="F238" s="215"/>
      <c r="G238" s="215"/>
      <c r="H238" s="216" t="s">
        <v>28</v>
      </c>
      <c r="I238" s="216"/>
      <c r="J238" s="216"/>
      <c r="K238" s="216"/>
      <c r="L238" s="217"/>
    </row>
    <row r="239" spans="2:52" ht="17.25" customHeight="1" x14ac:dyDescent="0.25">
      <c r="B239" s="218" t="s">
        <v>10</v>
      </c>
      <c r="C239" s="219"/>
      <c r="D239" s="219"/>
      <c r="E239" s="219"/>
      <c r="F239" s="219"/>
      <c r="G239" s="219"/>
      <c r="H239" s="169" t="s">
        <v>31</v>
      </c>
      <c r="I239" s="169"/>
      <c r="J239" s="169"/>
      <c r="K239" s="10"/>
      <c r="L239" s="57"/>
      <c r="R239" s="2" t="s">
        <v>642</v>
      </c>
      <c r="S239" s="3"/>
      <c r="T239" s="3"/>
      <c r="U239" s="50" t="s">
        <v>641</v>
      </c>
      <c r="V239" s="253">
        <f>(8.5+((950*W234)/(W236+18)))</f>
        <v>58.5</v>
      </c>
      <c r="W239" s="253"/>
      <c r="X239" s="253"/>
      <c r="Y239" s="254"/>
      <c r="AE239" s="137"/>
      <c r="AF239" s="83"/>
      <c r="AG239" s="83"/>
      <c r="AH239" s="257" t="s">
        <v>34</v>
      </c>
      <c r="AI239" s="257"/>
      <c r="AJ239" s="257" t="s">
        <v>36</v>
      </c>
      <c r="AK239" s="257"/>
      <c r="AL239" s="83"/>
      <c r="AM239" s="257" t="s">
        <v>35</v>
      </c>
      <c r="AN239" s="257"/>
      <c r="AO239" s="83"/>
      <c r="AP239" s="257" t="s">
        <v>37</v>
      </c>
      <c r="AQ239" s="257"/>
      <c r="AR239" s="83"/>
      <c r="AS239" s="257" t="s">
        <v>38</v>
      </c>
      <c r="AT239" s="257"/>
      <c r="AU239" s="138" t="s">
        <v>636</v>
      </c>
    </row>
    <row r="240" spans="2:52" ht="17.25" customHeight="1" thickBot="1" x14ac:dyDescent="0.3">
      <c r="B240" s="220" t="s">
        <v>9</v>
      </c>
      <c r="C240" s="221"/>
      <c r="D240" s="221"/>
      <c r="E240" s="221"/>
      <c r="F240" s="221"/>
      <c r="G240" s="221"/>
      <c r="H240" s="222" t="s">
        <v>32</v>
      </c>
      <c r="I240" s="222"/>
      <c r="J240" s="222"/>
      <c r="K240" s="77"/>
      <c r="L240" s="78"/>
      <c r="R240" s="7" t="s">
        <v>643</v>
      </c>
      <c r="S240" s="8"/>
      <c r="T240" s="8"/>
      <c r="U240" s="51" t="s">
        <v>641</v>
      </c>
      <c r="V240" s="255">
        <f>(8.5+(950*W235)/(W236+18))</f>
        <v>58.5</v>
      </c>
      <c r="W240" s="255"/>
      <c r="X240" s="255"/>
      <c r="Y240" s="256"/>
      <c r="AE240" s="95" t="s">
        <v>30</v>
      </c>
      <c r="AF240" s="87"/>
      <c r="AG240" s="93"/>
      <c r="AH240" s="247">
        <v>2500</v>
      </c>
      <c r="AI240" s="247"/>
      <c r="AJ240" s="247">
        <f>POWER(50,3)*50/12</f>
        <v>520833.33333333331</v>
      </c>
      <c r="AK240" s="247"/>
      <c r="AL240" s="93"/>
      <c r="AM240" s="247">
        <f>AJ240/25</f>
        <v>20833.333333333332</v>
      </c>
      <c r="AN240" s="247"/>
      <c r="AO240" s="93"/>
      <c r="AP240" s="247">
        <f>POWER(50,3)*50/12</f>
        <v>520833.33333333331</v>
      </c>
      <c r="AQ240" s="247"/>
      <c r="AR240" s="93"/>
      <c r="AS240" s="247">
        <f>AP240/25</f>
        <v>20833.333333333332</v>
      </c>
      <c r="AT240" s="247"/>
      <c r="AU240" s="94">
        <v>50</v>
      </c>
      <c r="AY240" s="146" t="s">
        <v>34</v>
      </c>
      <c r="AZ240" s="146">
        <v>80</v>
      </c>
    </row>
    <row r="241" spans="22:52" ht="17.25" customHeight="1" x14ac:dyDescent="0.25">
      <c r="AE241" s="95" t="s">
        <v>31</v>
      </c>
      <c r="AF241" s="87"/>
      <c r="AG241" s="93"/>
      <c r="AH241" s="247">
        <v>5000</v>
      </c>
      <c r="AI241" s="247"/>
      <c r="AJ241" s="247">
        <f>POWER(100,3)*50/12</f>
        <v>4166666.6666666665</v>
      </c>
      <c r="AK241" s="247"/>
      <c r="AL241" s="93"/>
      <c r="AM241" s="247">
        <f>AJ241/50</f>
        <v>83333.333333333328</v>
      </c>
      <c r="AN241" s="247"/>
      <c r="AO241" s="93"/>
      <c r="AP241" s="247">
        <f>POWER(50,3)*100/12</f>
        <v>1041666.6666666666</v>
      </c>
      <c r="AQ241" s="247"/>
      <c r="AR241" s="93"/>
      <c r="AS241" s="247">
        <f>AP241/25</f>
        <v>41666.666666666664</v>
      </c>
      <c r="AT241" s="247"/>
      <c r="AU241" s="94">
        <v>50</v>
      </c>
      <c r="AY241" s="146" t="s">
        <v>678</v>
      </c>
      <c r="AZ241" s="163">
        <v>40.5</v>
      </c>
    </row>
    <row r="242" spans="22:52" ht="17.25" customHeight="1" x14ac:dyDescent="0.25">
      <c r="AE242" s="95" t="s">
        <v>32</v>
      </c>
      <c r="AF242" s="87"/>
      <c r="AG242" s="93"/>
      <c r="AH242" s="247">
        <v>10000</v>
      </c>
      <c r="AI242" s="247"/>
      <c r="AJ242" s="247">
        <f>POWER(100,3)*100/12</f>
        <v>8333333.333333333</v>
      </c>
      <c r="AK242" s="247"/>
      <c r="AL242" s="93"/>
      <c r="AM242" s="247">
        <f>AJ242/50</f>
        <v>166666.66666666666</v>
      </c>
      <c r="AN242" s="247"/>
      <c r="AO242" s="93"/>
      <c r="AP242" s="247">
        <f>POWER(100,3)*100/12</f>
        <v>8333333.333333333</v>
      </c>
      <c r="AQ242" s="247"/>
      <c r="AR242" s="93"/>
      <c r="AS242" s="247">
        <f>AP242/50</f>
        <v>166666.66666666666</v>
      </c>
      <c r="AT242" s="247"/>
      <c r="AU242" s="94">
        <v>100</v>
      </c>
      <c r="AY242" s="146" t="s">
        <v>679</v>
      </c>
      <c r="AZ242" s="146">
        <v>31</v>
      </c>
    </row>
    <row r="243" spans="22:52" ht="17.25" customHeight="1" x14ac:dyDescent="0.25">
      <c r="AE243" s="95" t="s">
        <v>33</v>
      </c>
      <c r="AF243" s="87"/>
      <c r="AG243" s="93"/>
      <c r="AH243" s="247">
        <v>7500</v>
      </c>
      <c r="AI243" s="247"/>
      <c r="AJ243" s="247">
        <f>POWER(150,3)*50/12</f>
        <v>14062500</v>
      </c>
      <c r="AK243" s="247"/>
      <c r="AL243" s="93"/>
      <c r="AM243" s="247">
        <f>AJ243/75</f>
        <v>187500</v>
      </c>
      <c r="AN243" s="247"/>
      <c r="AO243" s="93"/>
      <c r="AP243" s="247">
        <f>POWER(50,3)*150/12</f>
        <v>1562500</v>
      </c>
      <c r="AQ243" s="247"/>
      <c r="AR243" s="93"/>
      <c r="AS243" s="247">
        <f>AP243/25</f>
        <v>62500</v>
      </c>
      <c r="AT243" s="247"/>
      <c r="AU243" s="94">
        <v>50</v>
      </c>
      <c r="AY243" s="146" t="s">
        <v>680</v>
      </c>
      <c r="AZ243" s="146">
        <v>200</v>
      </c>
    </row>
    <row r="244" spans="22:52" ht="17.25" customHeight="1" x14ac:dyDescent="0.25">
      <c r="AE244" s="86" t="s">
        <v>677</v>
      </c>
      <c r="AF244" s="87"/>
      <c r="AG244" s="87"/>
      <c r="AH244" s="247">
        <f>AZ243*AZ242+2*(AZ240-AZ242)*AZ241</f>
        <v>10169</v>
      </c>
      <c r="AI244" s="247"/>
      <c r="AJ244" s="247">
        <v>41800000</v>
      </c>
      <c r="AK244" s="247"/>
      <c r="AL244" s="93"/>
      <c r="AM244" s="247">
        <f>AJ244/(AZ243/2)</f>
        <v>418000</v>
      </c>
      <c r="AN244" s="247"/>
      <c r="AO244" s="93"/>
      <c r="AP244" s="247"/>
      <c r="AQ244" s="247"/>
      <c r="AR244" s="93"/>
      <c r="AS244" s="247"/>
      <c r="AT244" s="247"/>
      <c r="AU244" s="94">
        <f>AZ240</f>
        <v>80</v>
      </c>
    </row>
    <row r="245" spans="22:52" ht="17.25" customHeight="1" x14ac:dyDescent="0.25">
      <c r="AE245" s="95" t="s">
        <v>681</v>
      </c>
      <c r="AF245" s="87"/>
      <c r="AG245" s="87"/>
      <c r="AH245" s="247">
        <v>2185.3000000000002</v>
      </c>
      <c r="AI245" s="247"/>
      <c r="AJ245" s="247">
        <v>2092100</v>
      </c>
      <c r="AK245" s="247"/>
      <c r="AL245" s="93"/>
      <c r="AM245" s="247">
        <v>52303</v>
      </c>
      <c r="AN245" s="247"/>
      <c r="AO245" s="93"/>
      <c r="AP245" s="247">
        <v>1164100</v>
      </c>
      <c r="AQ245" s="247"/>
      <c r="AR245" s="93"/>
      <c r="AS245" s="247">
        <v>23282</v>
      </c>
      <c r="AT245" s="247"/>
      <c r="AU245" s="94">
        <v>100</v>
      </c>
    </row>
    <row r="246" spans="22:52" ht="17.25" customHeight="1" x14ac:dyDescent="0.25">
      <c r="V246" s="76"/>
      <c r="AE246" s="86" t="s">
        <v>682</v>
      </c>
      <c r="AF246" s="87"/>
      <c r="AG246" s="87"/>
      <c r="AH246" s="247">
        <v>2683.1</v>
      </c>
      <c r="AI246" s="247"/>
      <c r="AJ246" s="247">
        <v>4088600</v>
      </c>
      <c r="AK246" s="247"/>
      <c r="AL246" s="93"/>
      <c r="AM246" s="260">
        <v>81772</v>
      </c>
      <c r="AN246" s="260"/>
      <c r="AO246" s="93"/>
      <c r="AP246" s="248">
        <v>1675500</v>
      </c>
      <c r="AQ246" s="248"/>
      <c r="AR246" s="93"/>
      <c r="AS246" s="247">
        <v>30463</v>
      </c>
      <c r="AT246" s="247"/>
      <c r="AU246" s="94">
        <v>110</v>
      </c>
    </row>
    <row r="247" spans="22:52" ht="17.25" customHeight="1" x14ac:dyDescent="0.25">
      <c r="AE247" s="95" t="s">
        <v>683</v>
      </c>
      <c r="AF247" s="87"/>
      <c r="AG247" s="87"/>
      <c r="AH247" s="247">
        <v>480</v>
      </c>
      <c r="AI247" s="247"/>
      <c r="AJ247" s="247">
        <v>256000</v>
      </c>
      <c r="AK247" s="247"/>
      <c r="AL247" s="93"/>
      <c r="AM247" s="247">
        <v>6400</v>
      </c>
      <c r="AN247" s="247"/>
      <c r="AO247" s="93"/>
      <c r="AP247" s="247">
        <v>1440</v>
      </c>
      <c r="AQ247" s="247"/>
      <c r="AR247" s="93"/>
      <c r="AS247" s="247">
        <v>480</v>
      </c>
      <c r="AT247" s="247"/>
      <c r="AU247" s="94">
        <v>6</v>
      </c>
    </row>
    <row r="248" spans="22:52" ht="17.25" customHeight="1" x14ac:dyDescent="0.25">
      <c r="AE248" s="86" t="s">
        <v>684</v>
      </c>
      <c r="AF248" s="87"/>
      <c r="AG248" s="87"/>
      <c r="AH248" s="247">
        <v>360</v>
      </c>
      <c r="AI248" s="247"/>
      <c r="AJ248" s="247">
        <v>108000</v>
      </c>
      <c r="AK248" s="247"/>
      <c r="AL248" s="93"/>
      <c r="AM248" s="247">
        <v>3600</v>
      </c>
      <c r="AN248" s="247"/>
      <c r="AO248" s="93"/>
      <c r="AP248" s="247">
        <v>1080</v>
      </c>
      <c r="AQ248" s="247"/>
      <c r="AR248" s="93"/>
      <c r="AS248" s="247">
        <v>360</v>
      </c>
      <c r="AT248" s="247"/>
      <c r="AU248" s="94">
        <v>6</v>
      </c>
    </row>
    <row r="249" spans="22:52" ht="17.25" customHeight="1" thickBot="1" x14ac:dyDescent="0.3">
      <c r="AE249" s="139"/>
      <c r="AF249" s="140"/>
      <c r="AG249" s="140"/>
      <c r="AH249" s="258" t="s">
        <v>39</v>
      </c>
      <c r="AI249" s="258"/>
      <c r="AJ249" s="259" t="s">
        <v>27</v>
      </c>
      <c r="AK249" s="259"/>
      <c r="AL249" s="96"/>
      <c r="AM249" s="259" t="s">
        <v>40</v>
      </c>
      <c r="AN249" s="259"/>
      <c r="AO249" s="96"/>
      <c r="AP249" s="259" t="s">
        <v>27</v>
      </c>
      <c r="AQ249" s="259"/>
      <c r="AR249" s="96"/>
      <c r="AS249" s="259" t="s">
        <v>40</v>
      </c>
      <c r="AT249" s="259"/>
      <c r="AU249" s="141" t="s">
        <v>159</v>
      </c>
    </row>
    <row r="262" spans="2:26" ht="17.25" customHeight="1" x14ac:dyDescent="0.25">
      <c r="B262" s="1"/>
      <c r="C262" s="79" t="s">
        <v>687</v>
      </c>
      <c r="D262" s="1"/>
      <c r="E262" s="1"/>
      <c r="F262" s="1"/>
      <c r="G262" s="1"/>
      <c r="H262" s="1"/>
      <c r="I262" s="1"/>
      <c r="J262" s="1"/>
      <c r="K262" s="79" t="s">
        <v>688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2:26" ht="17.25" customHeight="1" x14ac:dyDescent="0.25">
      <c r="B263" s="1"/>
      <c r="C263" s="49" t="s">
        <v>685</v>
      </c>
      <c r="D263" s="245">
        <v>50</v>
      </c>
      <c r="E263" s="245"/>
      <c r="F263" s="1"/>
      <c r="G263" s="1"/>
      <c r="H263" s="1"/>
      <c r="I263" s="1"/>
      <c r="J263" s="1"/>
      <c r="K263" s="219" t="s">
        <v>689</v>
      </c>
      <c r="L263" s="219"/>
      <c r="M263" s="219"/>
      <c r="N263" s="219"/>
      <c r="O263" s="245">
        <v>30</v>
      </c>
      <c r="P263" s="245"/>
      <c r="Q263" s="10"/>
      <c r="R263" s="1"/>
      <c r="S263" s="1"/>
      <c r="T263" s="1"/>
      <c r="U263" s="1"/>
      <c r="V263" s="1"/>
      <c r="W263" s="1"/>
      <c r="X263" s="1"/>
      <c r="Y263" s="1"/>
      <c r="Z263" s="1"/>
    </row>
    <row r="264" spans="2:26" ht="17.25" customHeight="1" x14ac:dyDescent="0.25">
      <c r="B264" s="1"/>
      <c r="C264" s="49" t="s">
        <v>686</v>
      </c>
      <c r="D264" s="245">
        <v>60</v>
      </c>
      <c r="E264" s="245"/>
      <c r="F264" s="1"/>
      <c r="G264" s="1"/>
      <c r="H264" s="1"/>
      <c r="I264" s="1"/>
      <c r="J264" s="1"/>
      <c r="K264" s="219" t="s">
        <v>690</v>
      </c>
      <c r="L264" s="219"/>
      <c r="M264" s="219"/>
      <c r="N264" s="219"/>
      <c r="O264" s="245">
        <v>350</v>
      </c>
      <c r="P264" s="245"/>
      <c r="Q264" s="245"/>
      <c r="R264" s="1"/>
      <c r="S264" s="1"/>
      <c r="T264" s="1"/>
      <c r="U264" s="1"/>
      <c r="V264" s="1"/>
      <c r="W264" s="1"/>
      <c r="X264" s="1"/>
      <c r="Y264" s="1"/>
      <c r="Z264" s="1"/>
    </row>
    <row r="265" spans="2:26" ht="17.25" customHeight="1" x14ac:dyDescent="0.25">
      <c r="B265" s="1"/>
      <c r="C265" s="49" t="s">
        <v>692</v>
      </c>
      <c r="D265" s="246">
        <v>240</v>
      </c>
      <c r="E265" s="246"/>
      <c r="F265" s="1"/>
      <c r="G265" s="1"/>
      <c r="H265" s="1"/>
      <c r="I265" s="1"/>
      <c r="J265" s="1"/>
      <c r="K265" s="219" t="s">
        <v>691</v>
      </c>
      <c r="L265" s="219"/>
      <c r="M265" s="219"/>
      <c r="N265" s="219"/>
      <c r="O265" s="246">
        <v>240</v>
      </c>
      <c r="P265" s="246"/>
      <c r="Q265" s="246"/>
      <c r="R265" s="1"/>
      <c r="S265" s="1"/>
      <c r="T265" s="1"/>
      <c r="U265" s="1"/>
      <c r="V265" s="1"/>
      <c r="W265" s="1"/>
      <c r="X265" s="1"/>
      <c r="Y265" s="1"/>
      <c r="Z265" s="1"/>
    </row>
    <row r="266" spans="2:26" ht="17.25" customHeight="1" x14ac:dyDescent="0.25">
      <c r="B266" s="1"/>
      <c r="C266" s="185" t="s">
        <v>693</v>
      </c>
      <c r="D266" s="185"/>
      <c r="E266" s="243">
        <f>V240/H235</f>
        <v>2.34</v>
      </c>
      <c r="F266" s="243"/>
      <c r="G266" s="80"/>
      <c r="H266" s="81"/>
      <c r="I266" s="1"/>
      <c r="J266" s="1"/>
      <c r="K266" s="185" t="s">
        <v>693</v>
      </c>
      <c r="L266" s="185"/>
      <c r="M266" s="185"/>
      <c r="N266" s="244">
        <f>V239/H235</f>
        <v>2.34</v>
      </c>
      <c r="O266" s="244"/>
      <c r="P266" s="244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2:26" ht="17.25" customHeight="1" thickBo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2:26" ht="17.25" customHeight="1" x14ac:dyDescent="0.25">
      <c r="B268" s="232" t="s">
        <v>160</v>
      </c>
      <c r="C268" s="233"/>
      <c r="D268" s="205" t="s">
        <v>14</v>
      </c>
      <c r="E268" s="205"/>
      <c r="F268" s="211">
        <f>INDEX($AE$232:$AU$237,MATCH(H238,$AE$232:$AE$237,0),6)</f>
        <v>3830</v>
      </c>
      <c r="G268" s="211"/>
      <c r="H268" s="212"/>
      <c r="I268" s="1"/>
      <c r="J268" s="208" t="s">
        <v>12</v>
      </c>
      <c r="K268" s="238"/>
      <c r="L268" s="205" t="s">
        <v>18</v>
      </c>
      <c r="M268" s="205"/>
      <c r="N268" s="206">
        <f>INDEX($AF$22:$AR$33,MATCH($H$236,$AF$22:$AF$33,0),9)*1000</f>
        <v>6400</v>
      </c>
      <c r="O268" s="206"/>
      <c r="P268" s="206"/>
      <c r="Q268" s="207"/>
      <c r="R268" s="1"/>
      <c r="S268" s="208" t="s">
        <v>13</v>
      </c>
      <c r="T268" s="205" t="s">
        <v>22</v>
      </c>
      <c r="U268" s="205"/>
      <c r="V268" s="211">
        <f>INDEX($AF$22:$AR$33,MATCH($H$236,$AF$22:$AF$33,0),9)*1000</f>
        <v>6400</v>
      </c>
      <c r="W268" s="211"/>
      <c r="X268" s="211"/>
      <c r="Y268" s="212"/>
      <c r="Z268" s="1"/>
    </row>
    <row r="269" spans="2:26" ht="17.25" customHeight="1" x14ac:dyDescent="0.25">
      <c r="B269" s="234"/>
      <c r="C269" s="235"/>
      <c r="D269" s="197" t="s">
        <v>15</v>
      </c>
      <c r="E269" s="197"/>
      <c r="F269" s="177">
        <f>INDEX($AE$232:$AU$237,MATCH(H238,$AE$232:$AE$237,0),8)</f>
        <v>13</v>
      </c>
      <c r="G269" s="177"/>
      <c r="H269" s="178"/>
      <c r="I269" s="1"/>
      <c r="J269" s="209"/>
      <c r="K269" s="239"/>
      <c r="L269" s="197" t="s">
        <v>19</v>
      </c>
      <c r="M269" s="197"/>
      <c r="N269" s="177">
        <f>INDEX($AF$22:$AR$33,MATCH($H$236,$AF$22:$AF$33,0),2)</f>
        <v>20</v>
      </c>
      <c r="O269" s="177"/>
      <c r="P269" s="177"/>
      <c r="Q269" s="178"/>
      <c r="R269" s="1"/>
      <c r="S269" s="209"/>
      <c r="T269" s="197" t="s">
        <v>23</v>
      </c>
      <c r="U269" s="197"/>
      <c r="V269" s="177">
        <f>INDEX($AF$22:$AR$33,MATCH($H$236,$AF$22:$AF$33,0),2)</f>
        <v>20</v>
      </c>
      <c r="W269" s="177"/>
      <c r="X269" s="177"/>
      <c r="Y269" s="178"/>
      <c r="Z269" s="1"/>
    </row>
    <row r="270" spans="2:26" ht="17.25" customHeight="1" x14ac:dyDescent="0.25">
      <c r="B270" s="234"/>
      <c r="C270" s="235"/>
      <c r="D270" s="197" t="s">
        <v>16</v>
      </c>
      <c r="E270" s="197"/>
      <c r="F270" s="177">
        <f>INDEX($AE$232:$AU$237,MATCH(H238,$AE$232:$AE$237,0),10)</f>
        <v>2</v>
      </c>
      <c r="G270" s="177"/>
      <c r="H270" s="178"/>
      <c r="I270" s="1"/>
      <c r="J270" s="209"/>
      <c r="K270" s="239"/>
      <c r="L270" s="197" t="s">
        <v>20</v>
      </c>
      <c r="M270" s="197"/>
      <c r="N270" s="177">
        <f>INDEX($AF$22:$AR$33,MATCH($H$236,$AF$22:$AF$33,0),7)</f>
        <v>3.6</v>
      </c>
      <c r="O270" s="177"/>
      <c r="P270" s="177"/>
      <c r="Q270" s="178"/>
      <c r="R270" s="1"/>
      <c r="S270" s="209"/>
      <c r="T270" s="197" t="s">
        <v>24</v>
      </c>
      <c r="U270" s="197"/>
      <c r="V270" s="177">
        <f>INDEX($AF$22:$AR$33,MATCH($H$236,$AF$22:$AF$33,0),7)</f>
        <v>3.6</v>
      </c>
      <c r="W270" s="177"/>
      <c r="X270" s="177"/>
      <c r="Y270" s="178"/>
      <c r="Z270" s="1"/>
    </row>
    <row r="271" spans="2:26" ht="17.25" customHeight="1" x14ac:dyDescent="0.25">
      <c r="B271" s="234"/>
      <c r="C271" s="235"/>
      <c r="D271" s="197" t="s">
        <v>17</v>
      </c>
      <c r="E271" s="197"/>
      <c r="F271" s="203">
        <f>INDEX($AE$232:$AU$237,MATCH(H238,$AE$232:$AE$237,0),12)</f>
        <v>486000</v>
      </c>
      <c r="G271" s="203"/>
      <c r="H271" s="204"/>
      <c r="I271" s="1"/>
      <c r="J271" s="209"/>
      <c r="K271" s="239"/>
      <c r="L271" s="197" t="s">
        <v>21</v>
      </c>
      <c r="M271" s="197"/>
      <c r="N271" s="203">
        <f>INDEX($AE$240:$AK$248,MATCH($H$239,$AE$240:$AE$248,0),6)</f>
        <v>4166666.6666666665</v>
      </c>
      <c r="O271" s="203"/>
      <c r="P271" s="203"/>
      <c r="Q271" s="204"/>
      <c r="R271" s="1"/>
      <c r="S271" s="209"/>
      <c r="T271" s="197" t="s">
        <v>25</v>
      </c>
      <c r="U271" s="197"/>
      <c r="V271" s="203">
        <f>INDEX($AE$240:$AK$248,MATCH($H$240,$AE$240:$AE$248,0),6)</f>
        <v>8333333.333333333</v>
      </c>
      <c r="W271" s="203"/>
      <c r="X271" s="203"/>
      <c r="Y271" s="204"/>
      <c r="Z271" s="1"/>
    </row>
    <row r="272" spans="2:26" ht="17.25" customHeight="1" x14ac:dyDescent="0.25">
      <c r="B272" s="234"/>
      <c r="C272" s="235"/>
      <c r="D272" s="197" t="s">
        <v>629</v>
      </c>
      <c r="E272" s="197"/>
      <c r="F272" s="230">
        <f>INDEX($AE$232:$AU$237,MATCH(H238,$AE$232:$AE$237,0),16)</f>
        <v>54000</v>
      </c>
      <c r="G272" s="230"/>
      <c r="H272" s="231"/>
      <c r="I272" s="1"/>
      <c r="J272" s="209"/>
      <c r="K272" s="239"/>
      <c r="L272" s="197" t="s">
        <v>630</v>
      </c>
      <c r="M272" s="197"/>
      <c r="N272" s="230">
        <f>INDEX($AE$240:$AN$248,MATCH($H$239,$AE$240:$AE$248,0),9)</f>
        <v>83333.333333333328</v>
      </c>
      <c r="O272" s="230"/>
      <c r="P272" s="230"/>
      <c r="Q272" s="231"/>
      <c r="R272" s="1"/>
      <c r="S272" s="209"/>
      <c r="T272" s="197" t="s">
        <v>631</v>
      </c>
      <c r="U272" s="197"/>
      <c r="V272" s="230">
        <f>INDEX($AE$240:$AN$248,MATCH($H$240,$AE$240:$AE$248,0),9)</f>
        <v>166666.66666666666</v>
      </c>
      <c r="W272" s="230"/>
      <c r="X272" s="230"/>
      <c r="Y272" s="231"/>
      <c r="Z272" s="1"/>
    </row>
    <row r="273" spans="2:26" ht="17.25" customHeight="1" x14ac:dyDescent="0.25">
      <c r="B273" s="234"/>
      <c r="C273" s="235"/>
      <c r="D273" s="197" t="s">
        <v>632</v>
      </c>
      <c r="E273" s="197"/>
      <c r="F273" s="198">
        <f>INDEX($AE$232:$AU$237,MATCH(H238,$AE$232:$AE$237,0),14)</f>
        <v>18000</v>
      </c>
      <c r="G273" s="198"/>
      <c r="H273" s="199"/>
      <c r="I273" s="1"/>
      <c r="J273" s="209"/>
      <c r="K273" s="239"/>
      <c r="L273" s="197" t="s">
        <v>634</v>
      </c>
      <c r="M273" s="197"/>
      <c r="N273" s="198">
        <f>INDEX($AE$240:$AN$248,MATCH($H$239,$AE$240:$AE$248,0),4)</f>
        <v>5000</v>
      </c>
      <c r="O273" s="198"/>
      <c r="P273" s="198"/>
      <c r="Q273" s="199"/>
      <c r="R273" s="1"/>
      <c r="S273" s="209"/>
      <c r="T273" s="197" t="s">
        <v>637</v>
      </c>
      <c r="U273" s="197"/>
      <c r="V273" s="198">
        <f>INDEX($AE$240:$AN$248,MATCH($H$240,$AE$240:$AE$248,0),4)</f>
        <v>10000</v>
      </c>
      <c r="W273" s="198"/>
      <c r="X273" s="198"/>
      <c r="Y273" s="199"/>
      <c r="Z273" s="1"/>
    </row>
    <row r="274" spans="2:26" ht="17.25" customHeight="1" thickBot="1" x14ac:dyDescent="0.3">
      <c r="B274" s="236"/>
      <c r="C274" s="237"/>
      <c r="D274" s="194" t="s">
        <v>633</v>
      </c>
      <c r="E274" s="194"/>
      <c r="F274" s="195">
        <f>MAX(D263:E264)*10</f>
        <v>600</v>
      </c>
      <c r="G274" s="195"/>
      <c r="H274" s="196"/>
      <c r="I274" s="1"/>
      <c r="J274" s="210"/>
      <c r="K274" s="240"/>
      <c r="L274" s="194" t="s">
        <v>635</v>
      </c>
      <c r="M274" s="194"/>
      <c r="N274" s="195">
        <f>INDEX($AE$240:$AU$248,MATCH($H$239,$AE$240:$AE$248,0),17)</f>
        <v>50</v>
      </c>
      <c r="O274" s="195"/>
      <c r="P274" s="195"/>
      <c r="Q274" s="196"/>
      <c r="R274" s="1"/>
      <c r="S274" s="210"/>
      <c r="T274" s="194" t="s">
        <v>638</v>
      </c>
      <c r="U274" s="194"/>
      <c r="V274" s="195">
        <f>INDEX($AE$240:$AU$248,MATCH($H$240,$AE$240:$AE$248,0),17)</f>
        <v>100</v>
      </c>
      <c r="W274" s="195"/>
      <c r="X274" s="195"/>
      <c r="Y274" s="196"/>
      <c r="Z274" s="1"/>
    </row>
    <row r="275" spans="2:26" ht="17.25" customHeight="1" x14ac:dyDescent="0.25"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2:26" ht="17.25" customHeight="1" x14ac:dyDescent="0.25"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2:26" ht="17.25" customHeight="1" x14ac:dyDescent="0.25"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2:26" ht="17.25" customHeight="1" x14ac:dyDescent="0.25">
      <c r="B278" s="191" t="s">
        <v>694</v>
      </c>
      <c r="C278" s="191"/>
      <c r="D278" s="191"/>
      <c r="E278" s="191"/>
      <c r="F278" s="191"/>
      <c r="G278" s="191"/>
      <c r="H278" s="191"/>
      <c r="I278" s="191"/>
      <c r="J278" s="191"/>
      <c r="K278" s="191"/>
      <c r="L278" s="191"/>
      <c r="M278" s="191"/>
      <c r="N278" s="191"/>
      <c r="O278" s="191"/>
      <c r="P278" s="191"/>
      <c r="Q278" s="191"/>
      <c r="R278" s="191"/>
      <c r="S278" s="191"/>
      <c r="T278" s="191"/>
      <c r="U278" s="191"/>
      <c r="V278" s="191"/>
      <c r="W278" s="191"/>
    </row>
    <row r="279" spans="2:26" ht="17.25" customHeight="1" thickBot="1" x14ac:dyDescent="0.3"/>
    <row r="280" spans="2:26" ht="17.25" customHeight="1" x14ac:dyDescent="0.25"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2"/>
    </row>
    <row r="281" spans="2:26" ht="17.25" customHeight="1" x14ac:dyDescent="0.25">
      <c r="B281" s="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6"/>
    </row>
    <row r="282" spans="2:26" ht="17.25" customHeight="1" x14ac:dyDescent="0.25">
      <c r="B282" s="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6"/>
    </row>
    <row r="283" spans="2:26" ht="17.25" customHeight="1" x14ac:dyDescent="0.25">
      <c r="B283" s="4"/>
      <c r="C283" s="5"/>
      <c r="D283" s="5"/>
      <c r="E283" s="5"/>
      <c r="F283" s="213">
        <f>3.16*SQRT((F269*F272)/((V239/1000)*F274*2))</f>
        <v>316</v>
      </c>
      <c r="G283" s="213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6"/>
    </row>
    <row r="284" spans="2:26" ht="17.25" customHeight="1" x14ac:dyDescent="0.25">
      <c r="B284" s="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6"/>
    </row>
    <row r="285" spans="2:26" ht="17.25" customHeight="1" x14ac:dyDescent="0.25">
      <c r="B285" s="4"/>
      <c r="C285" s="5"/>
      <c r="D285" s="5"/>
      <c r="E285" s="5"/>
      <c r="F285" s="213">
        <f>0.835*POWER((F268*F271/((V240/1000)*F274)),1/3)</f>
        <v>313.71054537023366</v>
      </c>
      <c r="G285" s="213"/>
      <c r="H285" s="5"/>
      <c r="I285" s="5"/>
      <c r="J285" s="52" t="s">
        <v>644</v>
      </c>
      <c r="K285" s="179">
        <v>25</v>
      </c>
      <c r="L285" s="179"/>
      <c r="M285" s="179"/>
      <c r="N285" s="53" t="s">
        <v>639</v>
      </c>
      <c r="O285" s="54"/>
      <c r="P285" s="54"/>
      <c r="Q285" s="54"/>
      <c r="R285" s="54"/>
      <c r="S285" s="54"/>
      <c r="T285" s="5"/>
      <c r="U285" s="6"/>
    </row>
    <row r="286" spans="2:26" ht="17.25" customHeight="1" x14ac:dyDescent="0.25">
      <c r="B286" s="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6"/>
    </row>
    <row r="287" spans="2:26" ht="17.25" customHeight="1" x14ac:dyDescent="0.25">
      <c r="B287" s="4"/>
      <c r="C287" s="5"/>
      <c r="D287" s="5"/>
      <c r="E287" s="5"/>
      <c r="F287" s="213">
        <f>(F270*F273/(0.9*(V240/1000)*F274*2))</f>
        <v>569.80056980056975</v>
      </c>
      <c r="G287" s="213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6"/>
    </row>
    <row r="288" spans="2:26" ht="17.25" customHeight="1" thickBot="1" x14ac:dyDescent="0.3">
      <c r="B288" s="7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31"/>
    </row>
    <row r="290" spans="2:36" ht="17.25" customHeight="1" thickBot="1" x14ac:dyDescent="0.3"/>
    <row r="291" spans="2:36" ht="17.25" customHeight="1" x14ac:dyDescent="0.25">
      <c r="B291" s="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2"/>
    </row>
    <row r="292" spans="2:36" ht="17.25" customHeight="1" x14ac:dyDescent="0.25">
      <c r="B292" s="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6"/>
    </row>
    <row r="293" spans="2:36" ht="17.25" customHeight="1" x14ac:dyDescent="0.25">
      <c r="B293" s="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6"/>
    </row>
    <row r="294" spans="2:36" ht="17.25" customHeight="1" x14ac:dyDescent="0.25">
      <c r="B294" s="4"/>
      <c r="C294" s="5"/>
      <c r="D294" s="5"/>
      <c r="E294" s="5"/>
      <c r="F294" s="213">
        <f>3.16*SQRT((N269*N272)/((V240/1000)*(K285*10)*2))</f>
        <v>754.30766732153597</v>
      </c>
      <c r="G294" s="213"/>
      <c r="H294" s="213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6"/>
    </row>
    <row r="295" spans="2:36" ht="17.25" customHeight="1" x14ac:dyDescent="0.25">
      <c r="B295" s="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6"/>
    </row>
    <row r="296" spans="2:36" ht="17.25" customHeight="1" x14ac:dyDescent="0.25">
      <c r="B296" s="4"/>
      <c r="C296" s="5"/>
      <c r="D296" s="5"/>
      <c r="E296" s="5"/>
      <c r="F296" s="213">
        <f>0.835*POWER((N268*N271/((V240/1000)*(K285*10))),1/3)</f>
        <v>1020.1031641425864</v>
      </c>
      <c r="G296" s="213"/>
      <c r="H296" s="5"/>
      <c r="I296" s="5"/>
      <c r="J296" s="52" t="s">
        <v>645</v>
      </c>
      <c r="K296" s="179">
        <f>D265/ROUND((D265*10)/MIN(F294,F296,F298),0)</f>
        <v>60</v>
      </c>
      <c r="L296" s="179"/>
      <c r="M296" s="179"/>
      <c r="N296" s="53" t="s">
        <v>640</v>
      </c>
      <c r="O296" s="54"/>
      <c r="P296" s="54"/>
      <c r="Q296" s="54"/>
      <c r="R296" s="5"/>
      <c r="S296" s="5"/>
      <c r="T296" s="5"/>
      <c r="U296" s="6"/>
    </row>
    <row r="297" spans="2:36" ht="17.25" customHeight="1" x14ac:dyDescent="0.25">
      <c r="B297" s="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6"/>
    </row>
    <row r="298" spans="2:36" ht="17.25" customHeight="1" x14ac:dyDescent="0.25">
      <c r="B298" s="4"/>
      <c r="C298" s="5"/>
      <c r="D298" s="5"/>
      <c r="E298" s="5"/>
      <c r="F298" s="213">
        <f>(N270*N273/(0.9*(V240/1000)*(K285*10)*2))</f>
        <v>683.76068376068372</v>
      </c>
      <c r="G298" s="213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6"/>
    </row>
    <row r="299" spans="2:36" ht="17.25" customHeight="1" thickBot="1" x14ac:dyDescent="0.3">
      <c r="B299" s="7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31"/>
    </row>
    <row r="301" spans="2:36" ht="17.25" customHeight="1" thickBot="1" x14ac:dyDescent="0.3"/>
    <row r="302" spans="2:36" ht="17.25" customHeight="1" thickBot="1" x14ac:dyDescent="0.3">
      <c r="B302" s="223" t="s">
        <v>737</v>
      </c>
      <c r="C302" s="224"/>
      <c r="D302" s="224"/>
      <c r="E302" s="224"/>
      <c r="F302" s="224"/>
      <c r="G302" s="224"/>
      <c r="H302" s="224"/>
      <c r="I302" s="224"/>
      <c r="J302" s="224"/>
      <c r="K302" s="224"/>
      <c r="L302" s="224"/>
      <c r="M302" s="224"/>
      <c r="N302" s="224"/>
      <c r="O302" s="224"/>
      <c r="P302" s="224"/>
      <c r="Q302" s="224"/>
      <c r="R302" s="224"/>
      <c r="S302" s="224"/>
      <c r="T302" s="224"/>
      <c r="U302" s="225"/>
    </row>
    <row r="303" spans="2:36" ht="17.25" customHeight="1" x14ac:dyDescent="0.25">
      <c r="B303" s="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6"/>
      <c r="AI303" s="161" t="s">
        <v>696</v>
      </c>
      <c r="AJ303" s="162"/>
    </row>
    <row r="304" spans="2:36" ht="17.25" customHeight="1" x14ac:dyDescent="0.25">
      <c r="B304" s="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6"/>
      <c r="AF304" s="158" t="s">
        <v>695</v>
      </c>
      <c r="AG304" s="159"/>
      <c r="AH304" s="160"/>
      <c r="AI304" s="167">
        <v>90</v>
      </c>
      <c r="AJ304" s="168"/>
    </row>
    <row r="305" spans="2:47" ht="17.25" customHeight="1" x14ac:dyDescent="0.25">
      <c r="B305" s="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6"/>
      <c r="AF305" s="158" t="s">
        <v>697</v>
      </c>
      <c r="AG305" s="159"/>
      <c r="AH305" s="160"/>
      <c r="AI305" s="167">
        <v>30</v>
      </c>
      <c r="AJ305" s="168"/>
    </row>
    <row r="306" spans="2:47" ht="17.25" customHeight="1" x14ac:dyDescent="0.25">
      <c r="B306" s="4"/>
      <c r="C306" s="5"/>
      <c r="D306" s="5"/>
      <c r="E306" s="5"/>
      <c r="F306" s="213">
        <f>3.16*SQRT((V269*V272)/(V240/1000*(K296*10)*2))</f>
        <v>688.5855411518462</v>
      </c>
      <c r="G306" s="213"/>
      <c r="H306" s="213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6"/>
    </row>
    <row r="307" spans="2:47" ht="17.25" customHeight="1" x14ac:dyDescent="0.25">
      <c r="B307" s="4"/>
      <c r="C307" s="5"/>
      <c r="D307" s="5"/>
      <c r="E307" s="5"/>
      <c r="F307" s="5"/>
      <c r="G307" s="5"/>
      <c r="H307" s="5"/>
      <c r="I307" s="226" t="s">
        <v>698</v>
      </c>
      <c r="J307" s="227"/>
      <c r="K307" s="227"/>
      <c r="L307" s="228" t="s">
        <v>695</v>
      </c>
      <c r="M307" s="228"/>
      <c r="N307" s="228"/>
      <c r="O307" s="229"/>
      <c r="P307" s="5"/>
      <c r="Q307" s="5"/>
      <c r="R307" s="5"/>
      <c r="S307" s="5"/>
      <c r="T307" s="5"/>
      <c r="U307" s="6"/>
    </row>
    <row r="308" spans="2:47" ht="17.25" customHeight="1" x14ac:dyDescent="0.25">
      <c r="B308" s="4"/>
      <c r="C308" s="5"/>
      <c r="D308" s="5"/>
      <c r="E308" s="5"/>
      <c r="F308" s="213">
        <f>0.835*POWER((V268*V271/(V240/1000*K296*10)),1/3)</f>
        <v>959.95383063371105</v>
      </c>
      <c r="G308" s="213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6"/>
    </row>
    <row r="309" spans="2:47" ht="17.25" customHeight="1" x14ac:dyDescent="0.25">
      <c r="B309" s="4"/>
      <c r="C309" s="5"/>
      <c r="D309" s="5"/>
      <c r="E309" s="5"/>
      <c r="F309" s="5"/>
      <c r="G309" s="5"/>
      <c r="H309" s="5"/>
      <c r="I309" s="5"/>
      <c r="J309" s="52" t="s">
        <v>699</v>
      </c>
      <c r="K309" s="241">
        <v>50</v>
      </c>
      <c r="L309" s="241"/>
      <c r="M309" s="241"/>
      <c r="N309" s="53" t="s">
        <v>700</v>
      </c>
      <c r="O309" s="54"/>
      <c r="P309" s="54"/>
      <c r="Q309" s="54"/>
      <c r="R309" s="5"/>
      <c r="S309" s="5"/>
      <c r="T309" s="5"/>
      <c r="U309" s="6"/>
    </row>
    <row r="310" spans="2:47" ht="17.25" customHeight="1" x14ac:dyDescent="0.25">
      <c r="B310" s="4"/>
      <c r="C310" s="5"/>
      <c r="D310" s="5"/>
      <c r="E310" s="5"/>
      <c r="F310" s="213">
        <f>(V270*V273/(0.9*(V240/1000)*(K296*10)*2))</f>
        <v>569.80056980056975</v>
      </c>
      <c r="G310" s="213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6"/>
    </row>
    <row r="311" spans="2:47" ht="17.25" customHeight="1" x14ac:dyDescent="0.25">
      <c r="B311" s="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6"/>
    </row>
    <row r="312" spans="2:47" ht="17.25" customHeight="1" x14ac:dyDescent="0.25">
      <c r="B312" s="4"/>
      <c r="C312" s="5"/>
      <c r="D312" s="5"/>
      <c r="E312" s="5"/>
      <c r="F312" s="213">
        <f>((INDEX(AF304:AJ305,MATCH(L307,AF304:AF305,0),4))/(1.1*V240*(K296/100)*2))*1000</f>
        <v>1165.5011655011654</v>
      </c>
      <c r="G312" s="213"/>
      <c r="H312" s="213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6"/>
    </row>
    <row r="313" spans="2:47" ht="17.25" customHeight="1" thickBot="1" x14ac:dyDescent="0.3">
      <c r="B313" s="7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31"/>
    </row>
    <row r="320" spans="2:47" ht="17.25" customHeight="1" x14ac:dyDescent="0.25">
      <c r="AC320" s="148"/>
      <c r="AD320" s="148"/>
      <c r="AE320" s="148"/>
      <c r="AF320" s="176" t="s">
        <v>34</v>
      </c>
      <c r="AG320" s="176"/>
      <c r="AH320" s="176" t="s">
        <v>36</v>
      </c>
      <c r="AI320" s="176"/>
      <c r="AJ320" s="148"/>
      <c r="AK320" s="176" t="s">
        <v>35</v>
      </c>
      <c r="AL320" s="176"/>
      <c r="AM320" s="148"/>
      <c r="AN320" s="176" t="s">
        <v>37</v>
      </c>
      <c r="AO320" s="176"/>
      <c r="AP320" s="148"/>
      <c r="AQ320" s="176" t="s">
        <v>38</v>
      </c>
      <c r="AR320" s="176"/>
      <c r="AS320" s="148" t="s">
        <v>636</v>
      </c>
      <c r="AT320" s="202" t="s">
        <v>727</v>
      </c>
      <c r="AU320" s="202"/>
    </row>
    <row r="321" spans="2:47" ht="17.25" customHeight="1" x14ac:dyDescent="0.25">
      <c r="AC321" s="149" t="s">
        <v>30</v>
      </c>
      <c r="AD321" s="150"/>
      <c r="AE321" s="148"/>
      <c r="AF321" s="176">
        <v>2500</v>
      </c>
      <c r="AG321" s="176"/>
      <c r="AH321" s="176">
        <f>POWER(50,3)*50/12</f>
        <v>520833.33333333331</v>
      </c>
      <c r="AI321" s="176"/>
      <c r="AJ321" s="148"/>
      <c r="AK321" s="176">
        <f>AH321/25</f>
        <v>20833.333333333332</v>
      </c>
      <c r="AL321" s="176"/>
      <c r="AM321" s="148"/>
      <c r="AN321" s="176">
        <f>POWER(50,3)*50/12</f>
        <v>520833.33333333331</v>
      </c>
      <c r="AO321" s="176"/>
      <c r="AP321" s="148"/>
      <c r="AQ321" s="176">
        <f>AN321/25</f>
        <v>20833.333333333332</v>
      </c>
      <c r="AR321" s="176"/>
      <c r="AS321" s="148">
        <v>50</v>
      </c>
      <c r="AT321" s="181">
        <f>(POWER(3.1416,2)*(INDEX($AF$22:$AR$33,MATCH($H$236,$AF$22:$AF$33,0),9)*1000)*AH321/POWER(SQRT(C332*C332+C334*C334)*10,2))/(1000*2)</f>
        <v>2.9962509289617487</v>
      </c>
      <c r="AU321" s="181"/>
    </row>
    <row r="322" spans="2:47" ht="17.25" customHeight="1" x14ac:dyDescent="0.25">
      <c r="AC322" s="149" t="s">
        <v>31</v>
      </c>
      <c r="AD322" s="150"/>
      <c r="AE322" s="148"/>
      <c r="AF322" s="176">
        <v>5000</v>
      </c>
      <c r="AG322" s="176"/>
      <c r="AH322" s="176">
        <f>POWER(100,3)*50/12</f>
        <v>4166666.6666666665</v>
      </c>
      <c r="AI322" s="176"/>
      <c r="AJ322" s="148"/>
      <c r="AK322" s="176">
        <f>AH322/50</f>
        <v>83333.333333333328</v>
      </c>
      <c r="AL322" s="176"/>
      <c r="AM322" s="148"/>
      <c r="AN322" s="176">
        <f>POWER(50,3)*100/12</f>
        <v>1041666.6666666666</v>
      </c>
      <c r="AO322" s="176"/>
      <c r="AP322" s="148"/>
      <c r="AQ322" s="176">
        <f>AN322/25</f>
        <v>41666.666666666664</v>
      </c>
      <c r="AR322" s="176"/>
      <c r="AS322" s="148">
        <v>50</v>
      </c>
      <c r="AT322" s="181">
        <f>(POWER(3.1416,2)*(INDEX($AF$22:$AR$33,MATCH($H$236,$AF$22:$AF$33,0),9)*1000)*AH322/POWER(SQRT(C332*C332+C334*C334)*10,2))/(1000*2)</f>
        <v>23.97000743169399</v>
      </c>
      <c r="AU322" s="181"/>
    </row>
    <row r="323" spans="2:47" ht="17.25" customHeight="1" x14ac:dyDescent="0.25">
      <c r="AC323" s="149" t="s">
        <v>32</v>
      </c>
      <c r="AD323" s="150"/>
      <c r="AE323" s="148"/>
      <c r="AF323" s="176">
        <v>10000</v>
      </c>
      <c r="AG323" s="176"/>
      <c r="AH323" s="176">
        <f>POWER(100,3)*100/12</f>
        <v>8333333.333333333</v>
      </c>
      <c r="AI323" s="176"/>
      <c r="AJ323" s="148"/>
      <c r="AK323" s="176">
        <f>AH323/50</f>
        <v>166666.66666666666</v>
      </c>
      <c r="AL323" s="176"/>
      <c r="AM323" s="148"/>
      <c r="AN323" s="176">
        <f>POWER(100,3)*100/12</f>
        <v>8333333.333333333</v>
      </c>
      <c r="AO323" s="176"/>
      <c r="AP323" s="148"/>
      <c r="AQ323" s="176">
        <f>AN323/50</f>
        <v>166666.66666666666</v>
      </c>
      <c r="AR323" s="176"/>
      <c r="AS323" s="148">
        <v>100</v>
      </c>
      <c r="AT323" s="181">
        <f>(POWER(3.1416,2)*(INDEX($AF$22:$AR$33,MATCH($H$236,$AF$22:$AF$33,0),9)*1000)*AH323/POWER(SQRT(C332*C332+C334*C334)*10,2))/(1000*2)</f>
        <v>47.940014863387979</v>
      </c>
      <c r="AU323" s="181"/>
    </row>
    <row r="325" spans="2:47" ht="17.25" customHeight="1" x14ac:dyDescent="0.25">
      <c r="B325" s="191" t="s">
        <v>714</v>
      </c>
      <c r="C325" s="191"/>
      <c r="D325" s="191"/>
      <c r="E325" s="191"/>
      <c r="F325" s="191"/>
      <c r="G325" s="191"/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</row>
    <row r="326" spans="2:47" ht="17.25" customHeight="1" x14ac:dyDescent="0.25">
      <c r="AL326" s="142" t="s">
        <v>706</v>
      </c>
      <c r="AM326" s="143">
        <f>ROUND(D265/K296,0)</f>
        <v>4</v>
      </c>
    </row>
    <row r="327" spans="2:47" ht="17.25" customHeight="1" x14ac:dyDescent="0.25">
      <c r="B327" s="192" t="s">
        <v>704</v>
      </c>
      <c r="C327" s="192"/>
      <c r="D327" s="192"/>
      <c r="E327" s="192"/>
      <c r="F327" s="192"/>
      <c r="G327" s="193">
        <v>3</v>
      </c>
      <c r="H327" s="193"/>
      <c r="I327" s="193"/>
      <c r="J327" s="193"/>
      <c r="K327" s="193"/>
      <c r="L327" s="1"/>
      <c r="M327" s="1"/>
      <c r="N327" s="1"/>
      <c r="O327" s="1"/>
      <c r="P327" s="1"/>
      <c r="Q327" s="1"/>
      <c r="U327" s="69"/>
      <c r="V327" s="1"/>
      <c r="W327" s="1"/>
      <c r="X327" s="1"/>
      <c r="Y327" s="1"/>
      <c r="AL327" s="144"/>
      <c r="AM327" s="145"/>
    </row>
    <row r="328" spans="2:47" ht="17.25" customHeight="1" x14ac:dyDescent="0.25">
      <c r="B328" s="192" t="s">
        <v>705</v>
      </c>
      <c r="C328" s="192"/>
      <c r="D328" s="192"/>
      <c r="E328" s="192"/>
      <c r="F328" s="192"/>
      <c r="G328" s="193" t="s">
        <v>707</v>
      </c>
      <c r="H328" s="193"/>
      <c r="I328" s="193"/>
      <c r="J328" s="193"/>
      <c r="K328" s="193"/>
      <c r="L328" s="1"/>
      <c r="M328" s="1"/>
      <c r="N328" s="1"/>
      <c r="O328" s="1"/>
      <c r="P328" s="1"/>
      <c r="Q328" s="1"/>
      <c r="U328" s="1"/>
      <c r="V328" s="1"/>
      <c r="W328" s="1"/>
      <c r="X328" s="1"/>
      <c r="Y328" s="1"/>
      <c r="AF328" s="82" t="s">
        <v>707</v>
      </c>
    </row>
    <row r="329" spans="2:47" ht="17.25" customHeight="1" x14ac:dyDescent="0.25">
      <c r="B329" s="185" t="s">
        <v>702</v>
      </c>
      <c r="C329" s="185"/>
      <c r="D329" s="185"/>
      <c r="E329" s="185"/>
      <c r="F329" s="186">
        <v>15.5</v>
      </c>
      <c r="G329" s="186"/>
      <c r="H329" s="1"/>
      <c r="I329" s="1"/>
      <c r="J329" s="1"/>
      <c r="K329" s="1"/>
      <c r="L329" s="1"/>
      <c r="M329" s="1"/>
      <c r="N329" s="1"/>
      <c r="O329" s="1"/>
      <c r="P329" s="1"/>
      <c r="Q329" s="1"/>
      <c r="U329" s="1"/>
      <c r="V329" s="1"/>
      <c r="W329" s="1"/>
      <c r="X329" s="1"/>
      <c r="Y329" s="1"/>
      <c r="AF329" s="82">
        <v>1</v>
      </c>
      <c r="AQ329" s="187" t="s">
        <v>717</v>
      </c>
      <c r="AR329" s="187" t="s">
        <v>716</v>
      </c>
      <c r="AS329" s="187" t="s">
        <v>715</v>
      </c>
      <c r="AT329" s="200" t="s">
        <v>718</v>
      </c>
    </row>
    <row r="330" spans="2:47" ht="17.25" customHeight="1" x14ac:dyDescent="0.25">
      <c r="B330" s="1" t="s">
        <v>703</v>
      </c>
      <c r="C330" s="1"/>
      <c r="D330" s="1"/>
      <c r="E330" s="201">
        <f>(D265/100)*AT334*IF(F329&lt;AQ335,0.5,IF(F329&lt;AQ336,AS335,IF(F329&lt;AQ337,AS336,AS337)))</f>
        <v>3.0720000000000001</v>
      </c>
      <c r="F330" s="201"/>
      <c r="G330" s="201"/>
      <c r="H330" s="1"/>
      <c r="I330" s="1"/>
      <c r="J330" s="1"/>
      <c r="K330" s="1"/>
      <c r="L330" s="1"/>
      <c r="M330" s="1"/>
      <c r="N330" s="1"/>
      <c r="O330" s="1"/>
      <c r="P330" s="1"/>
      <c r="Q330" s="1"/>
      <c r="U330" s="1"/>
      <c r="V330" s="1"/>
      <c r="W330" s="1"/>
      <c r="X330" s="1"/>
      <c r="Y330" s="1"/>
      <c r="AF330" s="82">
        <v>2</v>
      </c>
      <c r="AQ330" s="187"/>
      <c r="AR330" s="187"/>
      <c r="AS330" s="187"/>
      <c r="AT330" s="200"/>
    </row>
    <row r="331" spans="2:47" ht="17.25" customHeight="1" x14ac:dyDescent="0.2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AF331" s="82">
        <v>3</v>
      </c>
      <c r="AQ331" s="187"/>
      <c r="AR331" s="187"/>
      <c r="AS331" s="187"/>
      <c r="AT331" s="200"/>
    </row>
    <row r="332" spans="2:47" ht="17.25" customHeight="1" x14ac:dyDescent="0.25">
      <c r="B332" s="33" t="s">
        <v>710</v>
      </c>
      <c r="C332" s="190">
        <f>K296*G327</f>
        <v>180</v>
      </c>
      <c r="D332" s="190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AF332" s="82">
        <v>4</v>
      </c>
      <c r="AQ332" s="187"/>
      <c r="AR332" s="187"/>
      <c r="AS332" s="187"/>
      <c r="AT332" s="200"/>
    </row>
    <row r="333" spans="2:47" ht="17.25" customHeight="1" x14ac:dyDescent="0.25">
      <c r="B333" s="33" t="s">
        <v>711</v>
      </c>
      <c r="C333" s="190" t="str">
        <f>IF(G328="Yok","-",K296*G328)</f>
        <v>-</v>
      </c>
      <c r="D333" s="190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AF333" s="82">
        <v>5</v>
      </c>
      <c r="AQ333" s="187"/>
      <c r="AR333" s="187" t="s">
        <v>716</v>
      </c>
      <c r="AS333" s="187"/>
      <c r="AT333" s="200"/>
    </row>
    <row r="334" spans="2:47" ht="17.25" customHeight="1" x14ac:dyDescent="0.25">
      <c r="B334" s="33" t="s">
        <v>712</v>
      </c>
      <c r="C334" s="183">
        <v>150</v>
      </c>
      <c r="D334" s="183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AF334" s="82">
        <v>6</v>
      </c>
      <c r="AQ334" s="146">
        <v>0</v>
      </c>
      <c r="AR334" s="146">
        <v>28</v>
      </c>
      <c r="AS334" s="146">
        <v>0.5</v>
      </c>
      <c r="AT334" s="176">
        <v>1.6</v>
      </c>
    </row>
    <row r="335" spans="2:47" ht="17.25" customHeight="1" x14ac:dyDescent="0.25">
      <c r="B335" s="33" t="s">
        <v>713</v>
      </c>
      <c r="C335" s="183">
        <v>100</v>
      </c>
      <c r="D335" s="183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AF335" s="82">
        <v>7</v>
      </c>
      <c r="AQ335" s="146">
        <v>8</v>
      </c>
      <c r="AR335" s="146">
        <v>36</v>
      </c>
      <c r="AS335" s="146">
        <v>0.8</v>
      </c>
      <c r="AT335" s="176"/>
    </row>
    <row r="336" spans="2:47" ht="17.25" customHeight="1" x14ac:dyDescent="0.25"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AF336" s="82">
        <v>8</v>
      </c>
      <c r="AQ336" s="146">
        <v>20</v>
      </c>
      <c r="AR336" s="146">
        <v>42</v>
      </c>
      <c r="AS336" s="146">
        <v>1.1000000000000001</v>
      </c>
      <c r="AT336" s="176"/>
    </row>
    <row r="337" spans="1:46" ht="17.25" customHeight="1" x14ac:dyDescent="0.25">
      <c r="B337" s="1"/>
      <c r="C337" s="1"/>
      <c r="D337" s="1"/>
      <c r="E337" s="33" t="s">
        <v>708</v>
      </c>
      <c r="F337" s="184">
        <f>IF(G327&gt;AM326:AM326,"Hatalı Giriş",ATAN(C332/C334)*180/3.1416)</f>
        <v>50.194311531600086</v>
      </c>
      <c r="G337" s="184"/>
      <c r="H337" s="184"/>
      <c r="AF337" s="82">
        <v>9</v>
      </c>
      <c r="AQ337" s="146">
        <v>100</v>
      </c>
      <c r="AR337" s="146">
        <v>46</v>
      </c>
      <c r="AS337" s="146">
        <v>1.3</v>
      </c>
      <c r="AT337" s="176"/>
    </row>
    <row r="338" spans="1:46" ht="17.25" customHeight="1" x14ac:dyDescent="0.25">
      <c r="B338" s="1"/>
      <c r="C338" s="1"/>
      <c r="D338" s="1"/>
      <c r="E338" s="33" t="s">
        <v>709</v>
      </c>
      <c r="F338" s="184" t="str">
        <f>IF(G328=AF328,"-",IF(G328&gt;=G327,"Hatalı Giriş",ATAN(C333/C335)*180/3.1416))</f>
        <v>-</v>
      </c>
      <c r="G338" s="184"/>
      <c r="H338" s="184"/>
      <c r="AH338" s="173" t="s">
        <v>730</v>
      </c>
      <c r="AI338" s="174"/>
      <c r="AJ338" s="173" t="s">
        <v>731</v>
      </c>
      <c r="AK338" s="174"/>
    </row>
    <row r="339" spans="1:46" ht="17.25" customHeight="1" x14ac:dyDescent="0.25">
      <c r="B339" s="1"/>
      <c r="C339" s="1"/>
      <c r="D339" s="1"/>
      <c r="E339" s="1"/>
      <c r="F339" s="1"/>
      <c r="G339" s="1"/>
      <c r="H339" s="1"/>
      <c r="AH339" s="175" t="s">
        <v>727</v>
      </c>
      <c r="AI339" s="175"/>
      <c r="AJ339" s="175" t="s">
        <v>727</v>
      </c>
      <c r="AK339" s="175"/>
    </row>
    <row r="340" spans="1:46" ht="17.25" customHeight="1" x14ac:dyDescent="0.25">
      <c r="B340" s="1"/>
      <c r="C340" s="1"/>
      <c r="D340" s="147" t="s">
        <v>725</v>
      </c>
      <c r="E340" s="189" t="s">
        <v>726</v>
      </c>
      <c r="F340" s="189"/>
      <c r="G340" s="189"/>
      <c r="H340" s="157"/>
      <c r="AF340" s="152"/>
      <c r="AG340" s="151" t="s">
        <v>723</v>
      </c>
      <c r="AH340" s="171">
        <v>20</v>
      </c>
      <c r="AI340" s="172"/>
      <c r="AJ340" s="171">
        <v>20</v>
      </c>
      <c r="AK340" s="172"/>
    </row>
    <row r="341" spans="1:46" ht="17.25" customHeight="1" x14ac:dyDescent="0.25">
      <c r="B341" s="1"/>
      <c r="C341" s="1"/>
      <c r="D341" s="1"/>
      <c r="E341" s="1"/>
      <c r="G341" s="1"/>
      <c r="H341" s="1"/>
      <c r="AF341" s="152"/>
      <c r="AG341" s="151" t="s">
        <v>726</v>
      </c>
      <c r="AH341" s="171">
        <f>(POWER(3.1416,2)*(INDEX($AF$22:$AR$33,MATCH($H$236,$AF$22:$AF$33,0),9)*1000)*AH323/POWER(SQRT(C332*C332+C334*C334)*10,2))/(1000*2)</f>
        <v>47.940014863387979</v>
      </c>
      <c r="AI341" s="172"/>
      <c r="AJ341" s="171" t="str">
        <f>IF(G422=AF422,"-",(POWER(3.1416,2)*(INDEX($AF$22:$AR$33,MATCH($H$236,$AF$22:$AF$33,0),9)*1000)*AH323/POWER(SQRT(C333*C333+C335*C335)*10,2))/(1000*2))</f>
        <v>-</v>
      </c>
      <c r="AK341" s="172"/>
    </row>
    <row r="342" spans="1:46" ht="17.25" customHeight="1" x14ac:dyDescent="0.25">
      <c r="A342" s="180" t="s">
        <v>719</v>
      </c>
      <c r="B342" s="180"/>
      <c r="C342" s="180"/>
      <c r="D342" s="180"/>
      <c r="E342" s="180"/>
      <c r="F342" s="180"/>
      <c r="G342" s="188">
        <f>IF(G328&lt;&gt;AF328,(2*ABS(COS(F337)*(((E330/100*(D265-C333)*(D265-C333)/2)-(E330/100*D265*D265/2)))/(C332-C333))),2*(E330/100*D265))</f>
        <v>14.7456</v>
      </c>
      <c r="H342" s="188"/>
      <c r="AF342" s="152"/>
      <c r="AG342" s="151" t="s">
        <v>724</v>
      </c>
      <c r="AH342" s="171">
        <v>12</v>
      </c>
      <c r="AI342" s="172"/>
      <c r="AJ342" s="171">
        <v>12</v>
      </c>
      <c r="AK342" s="172"/>
    </row>
    <row r="343" spans="1:46" ht="17.25" customHeight="1" x14ac:dyDescent="0.25">
      <c r="A343" s="180" t="s">
        <v>720</v>
      </c>
      <c r="B343" s="180"/>
      <c r="C343" s="180"/>
      <c r="D343" s="180"/>
      <c r="E343" s="180"/>
      <c r="F343" s="180"/>
      <c r="G343" s="188" t="str">
        <f>IF(G328&lt;&gt;AF328,D265/100*E330-G342,"-")</f>
        <v>-</v>
      </c>
      <c r="H343" s="188"/>
    </row>
    <row r="345" spans="1:46" ht="17.25" customHeight="1" x14ac:dyDescent="0.25">
      <c r="A345" s="180" t="s">
        <v>721</v>
      </c>
      <c r="B345" s="180"/>
      <c r="C345" s="180"/>
      <c r="D345" s="180"/>
      <c r="E345" s="180"/>
      <c r="F345" s="180"/>
      <c r="G345" s="188">
        <f>INDEX(AG340:AH342,MATCH(E340,AG340:AG342,0),2)</f>
        <v>47.940014863387979</v>
      </c>
      <c r="H345" s="188"/>
    </row>
    <row r="346" spans="1:46" ht="17.25" customHeight="1" x14ac:dyDescent="0.25">
      <c r="A346" s="180" t="s">
        <v>722</v>
      </c>
      <c r="B346" s="180"/>
      <c r="C346" s="180"/>
      <c r="D346" s="180"/>
      <c r="E346" s="180"/>
      <c r="F346" s="180"/>
      <c r="G346" s="188" t="str">
        <f>INDEX(AG340:AK342,MATCH(E340,AG340:AG342,0),4)</f>
        <v>-</v>
      </c>
      <c r="H346" s="188"/>
    </row>
    <row r="354" spans="2:25" ht="17.25" customHeight="1" x14ac:dyDescent="0.25">
      <c r="B354" s="191" t="s">
        <v>701</v>
      </c>
      <c r="C354" s="191"/>
      <c r="D354" s="191"/>
      <c r="E354" s="191"/>
      <c r="F354" s="191"/>
      <c r="G354" s="191"/>
      <c r="H354" s="191"/>
      <c r="I354" s="191"/>
      <c r="J354" s="191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</row>
    <row r="355" spans="2:25" ht="17.25" customHeight="1" thickBot="1" x14ac:dyDescent="0.3"/>
    <row r="356" spans="2:25" ht="17.25" customHeight="1" x14ac:dyDescent="0.25">
      <c r="B356" s="214" t="s">
        <v>4</v>
      </c>
      <c r="C356" s="215"/>
      <c r="D356" s="215"/>
      <c r="E356" s="215"/>
      <c r="F356" s="215"/>
      <c r="G356" s="215"/>
      <c r="H356" s="216" t="s">
        <v>154</v>
      </c>
      <c r="I356" s="216"/>
      <c r="J356" s="216"/>
      <c r="K356" s="216"/>
      <c r="L356" s="217"/>
    </row>
    <row r="357" spans="2:25" ht="17.25" customHeight="1" x14ac:dyDescent="0.25">
      <c r="B357" s="218" t="s">
        <v>10</v>
      </c>
      <c r="C357" s="219"/>
      <c r="D357" s="219"/>
      <c r="E357" s="219"/>
      <c r="F357" s="219"/>
      <c r="G357" s="219"/>
      <c r="H357" s="169" t="s">
        <v>32</v>
      </c>
      <c r="I357" s="169"/>
      <c r="J357" s="169"/>
      <c r="K357" s="10"/>
      <c r="L357" s="57"/>
    </row>
    <row r="358" spans="2:25" ht="17.25" customHeight="1" thickBot="1" x14ac:dyDescent="0.3">
      <c r="B358" s="220" t="s">
        <v>9</v>
      </c>
      <c r="C358" s="221"/>
      <c r="D358" s="221"/>
      <c r="E358" s="221"/>
      <c r="F358" s="221"/>
      <c r="G358" s="221"/>
      <c r="H358" s="222" t="s">
        <v>32</v>
      </c>
      <c r="I358" s="222"/>
      <c r="J358" s="222"/>
      <c r="K358" s="77"/>
      <c r="L358" s="78"/>
    </row>
    <row r="359" spans="2:25" ht="17.25" customHeight="1" thickBot="1" x14ac:dyDescent="0.3"/>
    <row r="360" spans="2:25" ht="17.25" customHeight="1" x14ac:dyDescent="0.25">
      <c r="B360" s="232" t="s">
        <v>160</v>
      </c>
      <c r="C360" s="233"/>
      <c r="D360" s="205" t="s">
        <v>14</v>
      </c>
      <c r="E360" s="205"/>
      <c r="F360" s="211">
        <f>INDEX($AE$232:$AU$237,MATCH(H356,$AE$232:$AE$237,0),6)</f>
        <v>4453</v>
      </c>
      <c r="G360" s="211"/>
      <c r="H360" s="212"/>
      <c r="I360" s="1"/>
      <c r="J360" s="208" t="s">
        <v>12</v>
      </c>
      <c r="K360" s="238"/>
      <c r="L360" s="205" t="s">
        <v>18</v>
      </c>
      <c r="M360" s="205"/>
      <c r="N360" s="206">
        <f>INDEX($AF$22:$AR$33,MATCH($H$236,$AF$22:$AF$33,0),9)*1000</f>
        <v>6400</v>
      </c>
      <c r="O360" s="206"/>
      <c r="P360" s="206"/>
      <c r="Q360" s="207"/>
      <c r="R360" s="1"/>
      <c r="S360" s="208" t="s">
        <v>13</v>
      </c>
      <c r="T360" s="205" t="s">
        <v>22</v>
      </c>
      <c r="U360" s="205"/>
      <c r="V360" s="211">
        <f>INDEX($AF$22:$AR$33,MATCH($H$236,$AF$22:$AF$33,0),9)*1000</f>
        <v>6400</v>
      </c>
      <c r="W360" s="211"/>
      <c r="X360" s="211"/>
      <c r="Y360" s="212"/>
    </row>
    <row r="361" spans="2:25" ht="17.25" customHeight="1" x14ac:dyDescent="0.25">
      <c r="B361" s="234"/>
      <c r="C361" s="235"/>
      <c r="D361" s="197" t="s">
        <v>15</v>
      </c>
      <c r="E361" s="197"/>
      <c r="F361" s="177">
        <f>INDEX($AE$232:$AU$237,MATCH(H356,$AE$232:$AE$237,0),8)</f>
        <v>14.3</v>
      </c>
      <c r="G361" s="177"/>
      <c r="H361" s="178"/>
      <c r="I361" s="1"/>
      <c r="J361" s="209"/>
      <c r="K361" s="239"/>
      <c r="L361" s="197" t="s">
        <v>19</v>
      </c>
      <c r="M361" s="197"/>
      <c r="N361" s="177">
        <f>INDEX($AF$22:$AR$33,MATCH($H$236,$AF$22:$AF$33,0),2)</f>
        <v>20</v>
      </c>
      <c r="O361" s="177"/>
      <c r="P361" s="177"/>
      <c r="Q361" s="178"/>
      <c r="R361" s="1"/>
      <c r="S361" s="209"/>
      <c r="T361" s="197" t="s">
        <v>23</v>
      </c>
      <c r="U361" s="197"/>
      <c r="V361" s="177">
        <f>INDEX($AF$22:$AR$33,MATCH($H$236,$AF$22:$AF$33,0),2)</f>
        <v>20</v>
      </c>
      <c r="W361" s="177"/>
      <c r="X361" s="177"/>
      <c r="Y361" s="178"/>
    </row>
    <row r="362" spans="2:25" ht="17.25" customHeight="1" x14ac:dyDescent="0.25">
      <c r="B362" s="234"/>
      <c r="C362" s="235"/>
      <c r="D362" s="197" t="s">
        <v>16</v>
      </c>
      <c r="E362" s="197"/>
      <c r="F362" s="177">
        <f>INDEX($AE$232:$AU$237,MATCH(H356,$AE$232:$AE$237,0),10)</f>
        <v>2.2000000000000002</v>
      </c>
      <c r="G362" s="177"/>
      <c r="H362" s="178"/>
      <c r="I362" s="1"/>
      <c r="J362" s="209"/>
      <c r="K362" s="239"/>
      <c r="L362" s="197" t="s">
        <v>20</v>
      </c>
      <c r="M362" s="197"/>
      <c r="N362" s="177">
        <f>INDEX($AF$22:$AR$33,MATCH($H$236,$AF$22:$AF$33,0),7)</f>
        <v>3.6</v>
      </c>
      <c r="O362" s="177"/>
      <c r="P362" s="177"/>
      <c r="Q362" s="178"/>
      <c r="R362" s="1"/>
      <c r="S362" s="209"/>
      <c r="T362" s="197" t="s">
        <v>24</v>
      </c>
      <c r="U362" s="197"/>
      <c r="V362" s="177">
        <f>INDEX($AF$22:$AR$33,MATCH($H$236,$AF$22:$AF$33,0),7)</f>
        <v>3.6</v>
      </c>
      <c r="W362" s="177"/>
      <c r="X362" s="177"/>
      <c r="Y362" s="178"/>
    </row>
    <row r="363" spans="2:25" ht="17.25" customHeight="1" x14ac:dyDescent="0.25">
      <c r="B363" s="234"/>
      <c r="C363" s="235"/>
      <c r="D363" s="197" t="s">
        <v>17</v>
      </c>
      <c r="E363" s="197"/>
      <c r="F363" s="203">
        <f>INDEX($AE$232:$AU$237,MATCH(H356,$AE$232:$AE$237,0),12)</f>
        <v>771750</v>
      </c>
      <c r="G363" s="203"/>
      <c r="H363" s="204"/>
      <c r="I363" s="1"/>
      <c r="J363" s="209"/>
      <c r="K363" s="239"/>
      <c r="L363" s="197" t="s">
        <v>21</v>
      </c>
      <c r="M363" s="197"/>
      <c r="N363" s="203">
        <f>INDEX($AE$240:$AK$248,MATCH($H$357,$AE$240:$AE$248,0),6)</f>
        <v>8333333.333333333</v>
      </c>
      <c r="O363" s="203"/>
      <c r="P363" s="203"/>
      <c r="Q363" s="204"/>
      <c r="R363" s="1"/>
      <c r="S363" s="209"/>
      <c r="T363" s="197" t="s">
        <v>25</v>
      </c>
      <c r="U363" s="197"/>
      <c r="V363" s="203">
        <f>INDEX($AE$240:$AK$248,MATCH($H$358,$AE$240:$AE$248,0),6)</f>
        <v>8333333.333333333</v>
      </c>
      <c r="W363" s="203"/>
      <c r="X363" s="203"/>
      <c r="Y363" s="204"/>
    </row>
    <row r="364" spans="2:25" ht="17.25" customHeight="1" x14ac:dyDescent="0.25">
      <c r="B364" s="234"/>
      <c r="C364" s="235"/>
      <c r="D364" s="197" t="s">
        <v>629</v>
      </c>
      <c r="E364" s="197"/>
      <c r="F364" s="230">
        <f>INDEX($AE$232:$AU$237,MATCH(H356,$AE$232:$AE$237,0),16)</f>
        <v>73500</v>
      </c>
      <c r="G364" s="230"/>
      <c r="H364" s="231"/>
      <c r="I364" s="1"/>
      <c r="J364" s="209"/>
      <c r="K364" s="239"/>
      <c r="L364" s="197" t="s">
        <v>630</v>
      </c>
      <c r="M364" s="197"/>
      <c r="N364" s="230">
        <f>INDEX($AE$240:$AN$248,MATCH($H$357,$AE$240:$AE$248,0),9)</f>
        <v>166666.66666666666</v>
      </c>
      <c r="O364" s="230"/>
      <c r="P364" s="230"/>
      <c r="Q364" s="231"/>
      <c r="R364" s="1"/>
      <c r="S364" s="209"/>
      <c r="T364" s="197" t="s">
        <v>631</v>
      </c>
      <c r="U364" s="197"/>
      <c r="V364" s="230">
        <f>INDEX($AE$240:$AN$248,MATCH($H$358,$AE$240:$AE$248,0),9)</f>
        <v>166666.66666666666</v>
      </c>
      <c r="W364" s="230"/>
      <c r="X364" s="230"/>
      <c r="Y364" s="231"/>
    </row>
    <row r="365" spans="2:25" ht="17.25" customHeight="1" x14ac:dyDescent="0.25">
      <c r="B365" s="234"/>
      <c r="C365" s="235"/>
      <c r="D365" s="197" t="s">
        <v>632</v>
      </c>
      <c r="E365" s="197"/>
      <c r="F365" s="198">
        <f>INDEX($AE$232:$AU$237,MATCH(H356,$AE$232:$AE$237,0),14)</f>
        <v>21000</v>
      </c>
      <c r="G365" s="198"/>
      <c r="H365" s="199"/>
      <c r="I365" s="1"/>
      <c r="J365" s="209"/>
      <c r="K365" s="239"/>
      <c r="L365" s="197" t="s">
        <v>634</v>
      </c>
      <c r="M365" s="197"/>
      <c r="N365" s="198">
        <f>INDEX($AE$240:$AN$248,MATCH($H$357,$AE$240:$AE$248,0),4)</f>
        <v>10000</v>
      </c>
      <c r="O365" s="198"/>
      <c r="P365" s="198"/>
      <c r="Q365" s="199"/>
      <c r="R365" s="1"/>
      <c r="S365" s="209"/>
      <c r="T365" s="197" t="s">
        <v>637</v>
      </c>
      <c r="U365" s="197"/>
      <c r="V365" s="198">
        <f>INDEX($AE$240:$AN$248,MATCH($H$358,$AE$240:$AE$248,0),4)</f>
        <v>10000</v>
      </c>
      <c r="W365" s="198"/>
      <c r="X365" s="198"/>
      <c r="Y365" s="199"/>
    </row>
    <row r="366" spans="2:25" ht="17.25" customHeight="1" thickBot="1" x14ac:dyDescent="0.3">
      <c r="B366" s="236"/>
      <c r="C366" s="237"/>
      <c r="D366" s="194" t="s">
        <v>633</v>
      </c>
      <c r="E366" s="194"/>
      <c r="F366" s="195">
        <v>1000</v>
      </c>
      <c r="G366" s="195"/>
      <c r="H366" s="196"/>
      <c r="I366" s="1"/>
      <c r="J366" s="210"/>
      <c r="K366" s="240"/>
      <c r="L366" s="194" t="s">
        <v>635</v>
      </c>
      <c r="M366" s="194"/>
      <c r="N366" s="195">
        <f>INDEX($AE$240:$AU$248,MATCH($H$357,$AE$240:$AE$248,0),17)</f>
        <v>100</v>
      </c>
      <c r="O366" s="195"/>
      <c r="P366" s="195"/>
      <c r="Q366" s="196"/>
      <c r="R366" s="1"/>
      <c r="S366" s="210"/>
      <c r="T366" s="194" t="s">
        <v>638</v>
      </c>
      <c r="U366" s="194"/>
      <c r="V366" s="195">
        <f>INDEX($AE$240:$AU$248,MATCH($H$358,$AE$240:$AE$248,0),17)</f>
        <v>100</v>
      </c>
      <c r="W366" s="195"/>
      <c r="X366" s="195"/>
      <c r="Y366" s="196"/>
    </row>
    <row r="371" spans="2:21" ht="17.25" customHeight="1" thickBot="1" x14ac:dyDescent="0.3"/>
    <row r="372" spans="2:21" ht="17.25" customHeight="1" x14ac:dyDescent="0.25">
      <c r="B372" s="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2"/>
    </row>
    <row r="373" spans="2:21" ht="17.25" customHeight="1" x14ac:dyDescent="0.25">
      <c r="B373" s="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6"/>
    </row>
    <row r="374" spans="2:21" ht="17.25" customHeight="1" x14ac:dyDescent="0.25">
      <c r="B374" s="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6"/>
    </row>
    <row r="375" spans="2:21" ht="17.25" customHeight="1" x14ac:dyDescent="0.25">
      <c r="B375" s="4"/>
      <c r="C375" s="5"/>
      <c r="D375" s="5"/>
      <c r="E375" s="5"/>
      <c r="F375" s="213">
        <f>3.16*SQRT((F361*F364)/((V239/1000)*F366*2))</f>
        <v>299.50621585091244</v>
      </c>
      <c r="G375" s="213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6"/>
    </row>
    <row r="376" spans="2:21" ht="17.25" customHeight="1" x14ac:dyDescent="0.25">
      <c r="B376" s="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6"/>
    </row>
    <row r="377" spans="2:21" ht="17.25" customHeight="1" x14ac:dyDescent="0.25">
      <c r="B377" s="4"/>
      <c r="C377" s="5"/>
      <c r="D377" s="5"/>
      <c r="E377" s="5"/>
      <c r="F377" s="213">
        <f>0.835*POWER((F360*F363/((V239/1000)*F366)),1/3)</f>
        <v>324.59684769627108</v>
      </c>
      <c r="G377" s="213"/>
      <c r="H377" s="5"/>
      <c r="I377" s="5"/>
      <c r="J377" s="52" t="s">
        <v>644</v>
      </c>
      <c r="K377" s="179">
        <v>30</v>
      </c>
      <c r="L377" s="179"/>
      <c r="M377" s="179"/>
      <c r="N377" s="53" t="s">
        <v>639</v>
      </c>
      <c r="O377" s="54"/>
      <c r="P377" s="54"/>
      <c r="Q377" s="54"/>
      <c r="R377" s="54"/>
      <c r="S377" s="54"/>
      <c r="T377" s="5"/>
      <c r="U377" s="6"/>
    </row>
    <row r="378" spans="2:21" ht="17.25" customHeight="1" x14ac:dyDescent="0.25">
      <c r="B378" s="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6"/>
    </row>
    <row r="379" spans="2:21" ht="17.25" customHeight="1" x14ac:dyDescent="0.25">
      <c r="B379" s="4"/>
      <c r="C379" s="5"/>
      <c r="D379" s="5"/>
      <c r="E379" s="5"/>
      <c r="F379" s="213">
        <f>(F362*F365/(0.9*(V239/1000)*F366*2))</f>
        <v>438.74643874643874</v>
      </c>
      <c r="G379" s="213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6"/>
    </row>
    <row r="380" spans="2:21" ht="17.25" customHeight="1" thickBot="1" x14ac:dyDescent="0.3">
      <c r="B380" s="7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31"/>
    </row>
    <row r="381" spans="2:21" ht="17.25" customHeight="1" thickBot="1" x14ac:dyDescent="0.3"/>
    <row r="382" spans="2:21" ht="17.25" customHeight="1" x14ac:dyDescent="0.25">
      <c r="B382" s="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2"/>
    </row>
    <row r="383" spans="2:21" ht="17.25" customHeight="1" x14ac:dyDescent="0.25">
      <c r="B383" s="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6"/>
    </row>
    <row r="384" spans="2:21" ht="17.25" customHeight="1" x14ac:dyDescent="0.25">
      <c r="B384" s="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6"/>
    </row>
    <row r="385" spans="2:21" ht="17.25" customHeight="1" x14ac:dyDescent="0.25">
      <c r="B385" s="4"/>
      <c r="C385" s="5"/>
      <c r="D385" s="5"/>
      <c r="E385" s="5"/>
      <c r="F385" s="213">
        <f>3.16*SQRT((N361*N364)/((V239/1000)*(K377*10)*2))</f>
        <v>973.80701115095792</v>
      </c>
      <c r="G385" s="213"/>
      <c r="H385" s="213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6"/>
    </row>
    <row r="386" spans="2:21" ht="17.25" customHeight="1" x14ac:dyDescent="0.25">
      <c r="B386" s="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6"/>
    </row>
    <row r="387" spans="2:21" ht="17.25" customHeight="1" x14ac:dyDescent="0.25">
      <c r="B387" s="4"/>
      <c r="C387" s="5"/>
      <c r="D387" s="5"/>
      <c r="E387" s="5"/>
      <c r="F387" s="213">
        <f>0.835*POWER((N360*N363/((V239/1000)*(K377*10))),1/3)</f>
        <v>1209.4660381426302</v>
      </c>
      <c r="G387" s="213"/>
      <c r="H387" s="5"/>
      <c r="I387" s="5"/>
      <c r="J387" s="52" t="s">
        <v>645</v>
      </c>
      <c r="K387" s="179">
        <v>90</v>
      </c>
      <c r="L387" s="179"/>
      <c r="M387" s="179"/>
      <c r="N387" s="53" t="s">
        <v>640</v>
      </c>
      <c r="O387" s="54"/>
      <c r="P387" s="54"/>
      <c r="Q387" s="54"/>
      <c r="R387" s="5"/>
      <c r="S387" s="5"/>
      <c r="T387" s="5"/>
      <c r="U387" s="6"/>
    </row>
    <row r="388" spans="2:21" ht="17.25" customHeight="1" x14ac:dyDescent="0.25">
      <c r="B388" s="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6"/>
    </row>
    <row r="389" spans="2:21" ht="17.25" customHeight="1" x14ac:dyDescent="0.25">
      <c r="B389" s="4"/>
      <c r="C389" s="5"/>
      <c r="D389" s="5"/>
      <c r="E389" s="5"/>
      <c r="F389" s="213">
        <f>(N362*N365/(0.9*(V239/1000)*(K377*10)*2))</f>
        <v>1139.6011396011395</v>
      </c>
      <c r="G389" s="213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6"/>
    </row>
    <row r="390" spans="2:21" ht="17.25" customHeight="1" thickBot="1" x14ac:dyDescent="0.3">
      <c r="B390" s="7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31"/>
    </row>
    <row r="391" spans="2:21" ht="17.25" customHeight="1" thickBot="1" x14ac:dyDescent="0.3"/>
    <row r="392" spans="2:21" ht="17.25" customHeight="1" thickBot="1" x14ac:dyDescent="0.3">
      <c r="B392" s="223" t="s">
        <v>732</v>
      </c>
      <c r="C392" s="224"/>
      <c r="D392" s="224"/>
      <c r="E392" s="224"/>
      <c r="F392" s="224"/>
      <c r="G392" s="224"/>
      <c r="H392" s="224"/>
      <c r="I392" s="224"/>
      <c r="J392" s="224"/>
      <c r="K392" s="224"/>
      <c r="L392" s="224"/>
      <c r="M392" s="224"/>
      <c r="N392" s="224"/>
      <c r="O392" s="224"/>
      <c r="P392" s="224"/>
      <c r="Q392" s="224"/>
      <c r="R392" s="224"/>
      <c r="S392" s="224"/>
      <c r="T392" s="224"/>
      <c r="U392" s="225"/>
    </row>
    <row r="393" spans="2:21" ht="17.25" customHeight="1" x14ac:dyDescent="0.25">
      <c r="B393" s="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6"/>
    </row>
    <row r="394" spans="2:21" ht="17.25" customHeight="1" x14ac:dyDescent="0.25">
      <c r="B394" s="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6"/>
    </row>
    <row r="395" spans="2:21" ht="17.25" customHeight="1" x14ac:dyDescent="0.25">
      <c r="B395" s="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6"/>
    </row>
    <row r="396" spans="2:21" ht="17.25" customHeight="1" x14ac:dyDescent="0.25">
      <c r="B396" s="4"/>
      <c r="C396" s="5"/>
      <c r="D396" s="5"/>
      <c r="E396" s="5"/>
      <c r="F396" s="213">
        <f>3.16*SQRT((V361*V364)/(V239/1000*(K387*10)*2))</f>
        <v>562.22774002675033</v>
      </c>
      <c r="G396" s="213"/>
      <c r="H396" s="213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6"/>
    </row>
    <row r="397" spans="2:21" ht="17.25" customHeight="1" x14ac:dyDescent="0.25">
      <c r="B397" s="4"/>
      <c r="C397" s="5"/>
      <c r="D397" s="5"/>
      <c r="E397" s="5"/>
      <c r="F397" s="5"/>
      <c r="G397" s="5"/>
      <c r="H397" s="5"/>
      <c r="I397" s="226" t="s">
        <v>698</v>
      </c>
      <c r="J397" s="227"/>
      <c r="K397" s="227"/>
      <c r="L397" s="228" t="s">
        <v>695</v>
      </c>
      <c r="M397" s="228"/>
      <c r="N397" s="228"/>
      <c r="O397" s="229"/>
      <c r="P397" s="5"/>
      <c r="Q397" s="5"/>
      <c r="R397" s="5"/>
      <c r="S397" s="5"/>
      <c r="T397" s="5"/>
      <c r="U397" s="6"/>
    </row>
    <row r="398" spans="2:21" ht="17.25" customHeight="1" x14ac:dyDescent="0.25">
      <c r="B398" s="4"/>
      <c r="C398" s="5"/>
      <c r="D398" s="5"/>
      <c r="E398" s="5"/>
      <c r="F398" s="213">
        <f>0.835*POWER((V360*V363/(V239/1000*K387*10)),1/3)</f>
        <v>838.59691349038656</v>
      </c>
      <c r="G398" s="213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6"/>
    </row>
    <row r="399" spans="2:21" ht="17.25" customHeight="1" x14ac:dyDescent="0.25">
      <c r="B399" s="4"/>
      <c r="C399" s="5"/>
      <c r="D399" s="5"/>
      <c r="E399" s="5"/>
      <c r="F399" s="5"/>
      <c r="G399" s="5"/>
      <c r="H399" s="5"/>
      <c r="I399" s="5"/>
      <c r="J399" s="52" t="s">
        <v>699</v>
      </c>
      <c r="K399" s="179">
        <v>50</v>
      </c>
      <c r="L399" s="179"/>
      <c r="M399" s="179"/>
      <c r="N399" s="53" t="s">
        <v>700</v>
      </c>
      <c r="O399" s="54"/>
      <c r="P399" s="54"/>
      <c r="Q399" s="54"/>
      <c r="R399" s="5"/>
      <c r="S399" s="5"/>
      <c r="T399" s="5"/>
      <c r="U399" s="6"/>
    </row>
    <row r="400" spans="2:21" ht="17.25" customHeight="1" x14ac:dyDescent="0.25">
      <c r="B400" s="4"/>
      <c r="C400" s="5"/>
      <c r="D400" s="5"/>
      <c r="E400" s="5"/>
      <c r="F400" s="213">
        <f>(V362*V365/(0.9*(V239/1000)*(K387*10)*2))</f>
        <v>379.86704653371316</v>
      </c>
      <c r="G400" s="213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6"/>
    </row>
    <row r="401" spans="2:47" ht="17.25" customHeight="1" x14ac:dyDescent="0.25">
      <c r="B401" s="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6"/>
    </row>
    <row r="402" spans="2:47" ht="17.25" customHeight="1" x14ac:dyDescent="0.25">
      <c r="B402" s="4"/>
      <c r="C402" s="5"/>
      <c r="D402" s="5"/>
      <c r="E402" s="5"/>
      <c r="F402" s="213">
        <f>((INDEX(AF304:AJ305,MATCH(L307,AF304:AF305,0),4))/(1.1*V240*(K387/100)*2))*1000</f>
        <v>777.00077700077702</v>
      </c>
      <c r="G402" s="213"/>
      <c r="H402" s="213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6"/>
    </row>
    <row r="403" spans="2:47" ht="17.25" customHeight="1" thickBot="1" x14ac:dyDescent="0.3">
      <c r="B403" s="7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31"/>
    </row>
    <row r="414" spans="2:47" ht="17.25" customHeight="1" x14ac:dyDescent="0.25">
      <c r="AC414" s="148"/>
      <c r="AD414" s="148"/>
      <c r="AE414" s="148"/>
      <c r="AF414" s="176" t="s">
        <v>34</v>
      </c>
      <c r="AG414" s="176"/>
      <c r="AH414" s="176" t="s">
        <v>36</v>
      </c>
      <c r="AI414" s="176"/>
      <c r="AJ414" s="148"/>
      <c r="AK414" s="176" t="s">
        <v>35</v>
      </c>
      <c r="AL414" s="176"/>
      <c r="AM414" s="148"/>
      <c r="AN414" s="176" t="s">
        <v>37</v>
      </c>
      <c r="AO414" s="176"/>
      <c r="AP414" s="148"/>
      <c r="AQ414" s="176" t="s">
        <v>38</v>
      </c>
      <c r="AR414" s="176"/>
      <c r="AS414" s="148" t="s">
        <v>636</v>
      </c>
      <c r="AT414" s="202" t="s">
        <v>727</v>
      </c>
      <c r="AU414" s="202"/>
    </row>
    <row r="415" spans="2:47" ht="17.25" customHeight="1" x14ac:dyDescent="0.25">
      <c r="AC415" s="149" t="s">
        <v>30</v>
      </c>
      <c r="AD415" s="150"/>
      <c r="AE415" s="148"/>
      <c r="AF415" s="176">
        <v>2500</v>
      </c>
      <c r="AG415" s="176"/>
      <c r="AH415" s="176">
        <f>POWER(50,3)*50/12</f>
        <v>520833.33333333331</v>
      </c>
      <c r="AI415" s="176"/>
      <c r="AJ415" s="148"/>
      <c r="AK415" s="176">
        <f>AH415/25</f>
        <v>20833.333333333332</v>
      </c>
      <c r="AL415" s="176"/>
      <c r="AM415" s="148"/>
      <c r="AN415" s="176">
        <f>POWER(50,3)*50/12</f>
        <v>520833.33333333331</v>
      </c>
      <c r="AO415" s="176"/>
      <c r="AP415" s="148"/>
      <c r="AQ415" s="176">
        <f>AN415/25</f>
        <v>20833.333333333332</v>
      </c>
      <c r="AR415" s="176"/>
      <c r="AS415" s="148">
        <v>50</v>
      </c>
      <c r="AT415" s="181">
        <f>(POWER(3.1416,2)*(INDEX($AF$22:$AR$33,MATCH($H$236,$AF$22:$AF$33,0),9)*1000)*AH415/POWER(SQRT(C426*C426+C428*C428)*10,2))/(1000*2)</f>
        <v>2.9962509289617487</v>
      </c>
      <c r="AU415" s="181"/>
    </row>
    <row r="416" spans="2:47" ht="17.25" customHeight="1" x14ac:dyDescent="0.25">
      <c r="AC416" s="149" t="s">
        <v>31</v>
      </c>
      <c r="AD416" s="150"/>
      <c r="AE416" s="148"/>
      <c r="AF416" s="176">
        <v>5000</v>
      </c>
      <c r="AG416" s="176"/>
      <c r="AH416" s="176">
        <f>POWER(100,3)*50/12</f>
        <v>4166666.6666666665</v>
      </c>
      <c r="AI416" s="176"/>
      <c r="AJ416" s="148"/>
      <c r="AK416" s="176">
        <f>AH416/50</f>
        <v>83333.333333333328</v>
      </c>
      <c r="AL416" s="176"/>
      <c r="AM416" s="148"/>
      <c r="AN416" s="176">
        <f>POWER(50,3)*100/12</f>
        <v>1041666.6666666666</v>
      </c>
      <c r="AO416" s="176"/>
      <c r="AP416" s="148"/>
      <c r="AQ416" s="176">
        <f>AN416/25</f>
        <v>41666.666666666664</v>
      </c>
      <c r="AR416" s="176"/>
      <c r="AS416" s="148">
        <v>50</v>
      </c>
      <c r="AT416" s="181">
        <f>(POWER(3.1416,2)*(INDEX($AF$22:$AR$33,MATCH($H$236,$AF$22:$AF$33,0),9)*1000)*AH416/POWER(SQRT(C426*C426+C428*C428)*10,2))/(1000*2)</f>
        <v>23.97000743169399</v>
      </c>
      <c r="AU416" s="181"/>
    </row>
    <row r="417" spans="2:47" ht="17.25" customHeight="1" x14ac:dyDescent="0.25">
      <c r="AC417" s="149" t="s">
        <v>32</v>
      </c>
      <c r="AD417" s="150"/>
      <c r="AE417" s="148"/>
      <c r="AF417" s="176">
        <v>10000</v>
      </c>
      <c r="AG417" s="176"/>
      <c r="AH417" s="176">
        <f>POWER(100,3)*100/12</f>
        <v>8333333.333333333</v>
      </c>
      <c r="AI417" s="176"/>
      <c r="AJ417" s="148"/>
      <c r="AK417" s="176">
        <f>AH417/50</f>
        <v>166666.66666666666</v>
      </c>
      <c r="AL417" s="176"/>
      <c r="AM417" s="148"/>
      <c r="AN417" s="176">
        <f>POWER(100,3)*100/12</f>
        <v>8333333.333333333</v>
      </c>
      <c r="AO417" s="176"/>
      <c r="AP417" s="148"/>
      <c r="AQ417" s="176">
        <f>AN417/50</f>
        <v>166666.66666666666</v>
      </c>
      <c r="AR417" s="176"/>
      <c r="AS417" s="148">
        <v>100</v>
      </c>
      <c r="AT417" s="181">
        <f>(POWER(3.1416,2)*(INDEX($AF$22:$AR$33,MATCH($H$236,$AF$22:$AF$33,0),9)*1000)*AH417/POWER(SQRT(C426*C426+C428*C428)*10,2))/(1000*2)</f>
        <v>47.940014863387979</v>
      </c>
      <c r="AU417" s="181"/>
    </row>
    <row r="419" spans="2:47" ht="17.25" customHeight="1" x14ac:dyDescent="0.25">
      <c r="B419" s="191" t="s">
        <v>728</v>
      </c>
      <c r="C419" s="191"/>
      <c r="D419" s="191"/>
      <c r="E419" s="191"/>
      <c r="F419" s="191"/>
      <c r="G419" s="191"/>
      <c r="H419" s="191"/>
      <c r="I419" s="191"/>
      <c r="J419" s="191"/>
      <c r="K419" s="191"/>
      <c r="L419" s="191"/>
      <c r="M419" s="191"/>
      <c r="N419" s="191"/>
      <c r="O419" s="191"/>
      <c r="P419" s="191"/>
      <c r="Q419" s="191"/>
      <c r="R419" s="191"/>
      <c r="S419" s="191"/>
      <c r="T419" s="191"/>
      <c r="U419" s="191"/>
      <c r="V419" s="191"/>
      <c r="W419" s="191"/>
    </row>
    <row r="420" spans="2:47" ht="17.25" customHeight="1" x14ac:dyDescent="0.25">
      <c r="AL420" s="142" t="s">
        <v>706</v>
      </c>
      <c r="AM420" s="182">
        <f>ROUND(O265/K387,0)</f>
        <v>3</v>
      </c>
      <c r="AN420" s="182"/>
    </row>
    <row r="421" spans="2:47" ht="17.25" customHeight="1" x14ac:dyDescent="0.25">
      <c r="B421" s="192" t="s">
        <v>704</v>
      </c>
      <c r="C421" s="192"/>
      <c r="D421" s="192"/>
      <c r="E421" s="192"/>
      <c r="F421" s="192"/>
      <c r="G421" s="193">
        <v>2</v>
      </c>
      <c r="H421" s="193"/>
      <c r="I421" s="193"/>
      <c r="J421" s="193"/>
      <c r="K421" s="193"/>
      <c r="L421" s="1"/>
      <c r="M421" s="1"/>
      <c r="N421" s="1"/>
      <c r="O421" s="1"/>
      <c r="P421" s="1"/>
      <c r="Q421" s="1"/>
      <c r="U421" s="69"/>
      <c r="V421" s="1"/>
      <c r="W421" s="1"/>
      <c r="X421" s="1"/>
      <c r="Y421" s="1"/>
      <c r="AL421" s="144"/>
      <c r="AM421" s="145"/>
    </row>
    <row r="422" spans="2:47" ht="17.25" customHeight="1" x14ac:dyDescent="0.25">
      <c r="B422" s="192" t="s">
        <v>705</v>
      </c>
      <c r="C422" s="192"/>
      <c r="D422" s="192"/>
      <c r="E422" s="192"/>
      <c r="F422" s="192"/>
      <c r="G422" s="193" t="s">
        <v>707</v>
      </c>
      <c r="H422" s="193"/>
      <c r="I422" s="193"/>
      <c r="J422" s="193"/>
      <c r="K422" s="193"/>
      <c r="L422" s="1"/>
      <c r="M422" s="1"/>
      <c r="N422" s="1"/>
      <c r="O422" s="1"/>
      <c r="P422" s="1"/>
      <c r="Q422" s="1"/>
      <c r="U422" s="1"/>
      <c r="V422" s="1"/>
      <c r="W422" s="1"/>
      <c r="X422" s="1"/>
      <c r="Y422" s="1"/>
      <c r="AF422" s="82" t="s">
        <v>707</v>
      </c>
    </row>
    <row r="423" spans="2:47" ht="17.25" customHeight="1" x14ac:dyDescent="0.25">
      <c r="B423" s="185" t="s">
        <v>729</v>
      </c>
      <c r="C423" s="185"/>
      <c r="D423" s="185"/>
      <c r="E423" s="185"/>
      <c r="F423" s="186">
        <v>20</v>
      </c>
      <c r="G423" s="186"/>
      <c r="H423" s="1"/>
      <c r="I423" s="1"/>
      <c r="J423" s="1"/>
      <c r="K423" s="1"/>
      <c r="L423" s="1"/>
      <c r="M423" s="1"/>
      <c r="N423" s="1"/>
      <c r="O423" s="1"/>
      <c r="P423" s="1"/>
      <c r="Q423" s="1"/>
      <c r="U423" s="1"/>
      <c r="V423" s="1"/>
      <c r="W423" s="1"/>
      <c r="X423" s="1"/>
      <c r="Y423" s="1"/>
      <c r="AF423" s="82">
        <v>1</v>
      </c>
      <c r="AQ423" s="187" t="s">
        <v>717</v>
      </c>
      <c r="AR423" s="187" t="s">
        <v>716</v>
      </c>
      <c r="AS423" s="187" t="s">
        <v>715</v>
      </c>
      <c r="AT423" s="200" t="s">
        <v>718</v>
      </c>
    </row>
    <row r="424" spans="2:47" ht="17.25" customHeight="1" x14ac:dyDescent="0.25">
      <c r="B424" s="1" t="s">
        <v>703</v>
      </c>
      <c r="C424" s="1"/>
      <c r="D424" s="1"/>
      <c r="E424" s="201">
        <f>(O265/100)*AT428*IF(F423&lt;AQ429,0.5,IF(F423&lt;AQ430,AS429,IF(F423&lt;AQ431,AS430,AS431)))</f>
        <v>4.2240000000000002</v>
      </c>
      <c r="F424" s="201"/>
      <c r="G424" s="201"/>
      <c r="H424" s="1"/>
      <c r="I424" s="1"/>
      <c r="J424" s="1"/>
      <c r="K424" s="1"/>
      <c r="L424" s="1"/>
      <c r="M424" s="1"/>
      <c r="N424" s="1"/>
      <c r="O424" s="1"/>
      <c r="P424" s="1"/>
      <c r="Q424" s="1"/>
      <c r="U424" s="1"/>
      <c r="V424" s="1"/>
      <c r="W424" s="1"/>
      <c r="X424" s="1"/>
      <c r="Y424" s="1"/>
      <c r="AF424" s="82">
        <v>2</v>
      </c>
      <c r="AQ424" s="187"/>
      <c r="AR424" s="187"/>
      <c r="AS424" s="187"/>
      <c r="AT424" s="200"/>
    </row>
    <row r="425" spans="2:47" ht="17.25" customHeight="1" x14ac:dyDescent="0.2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AF425" s="82">
        <v>3</v>
      </c>
      <c r="AQ425" s="187"/>
      <c r="AR425" s="187"/>
      <c r="AS425" s="187"/>
      <c r="AT425" s="200"/>
    </row>
    <row r="426" spans="2:47" ht="17.25" customHeight="1" x14ac:dyDescent="0.25">
      <c r="B426" s="33" t="s">
        <v>710</v>
      </c>
      <c r="C426" s="190">
        <f>K387*G421</f>
        <v>180</v>
      </c>
      <c r="D426" s="190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AF426" s="82">
        <v>4</v>
      </c>
      <c r="AQ426" s="187"/>
      <c r="AR426" s="187"/>
      <c r="AS426" s="187"/>
      <c r="AT426" s="200"/>
    </row>
    <row r="427" spans="2:47" ht="17.25" customHeight="1" x14ac:dyDescent="0.25">
      <c r="B427" s="33" t="s">
        <v>711</v>
      </c>
      <c r="C427" s="190" t="str">
        <f>IF(G422="Yok","-",K387*G422)</f>
        <v>-</v>
      </c>
      <c r="D427" s="190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AF427" s="82">
        <v>5</v>
      </c>
      <c r="AQ427" s="187"/>
      <c r="AR427" s="187" t="s">
        <v>716</v>
      </c>
      <c r="AS427" s="187"/>
      <c r="AT427" s="200"/>
    </row>
    <row r="428" spans="2:47" ht="17.25" customHeight="1" x14ac:dyDescent="0.25">
      <c r="B428" s="33" t="s">
        <v>712</v>
      </c>
      <c r="C428" s="183">
        <v>150</v>
      </c>
      <c r="D428" s="183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AF428" s="82">
        <v>6</v>
      </c>
      <c r="AQ428" s="146">
        <v>0</v>
      </c>
      <c r="AR428" s="146">
        <v>28</v>
      </c>
      <c r="AS428" s="146">
        <v>0.5</v>
      </c>
      <c r="AT428" s="176">
        <v>1.6</v>
      </c>
    </row>
    <row r="429" spans="2:47" ht="17.25" customHeight="1" x14ac:dyDescent="0.25">
      <c r="B429" s="33" t="s">
        <v>713</v>
      </c>
      <c r="C429" s="183">
        <v>100</v>
      </c>
      <c r="D429" s="183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AF429" s="82">
        <v>7</v>
      </c>
      <c r="AQ429" s="146">
        <v>8</v>
      </c>
      <c r="AR429" s="146">
        <v>36</v>
      </c>
      <c r="AS429" s="146">
        <v>0.8</v>
      </c>
      <c r="AT429" s="176"/>
    </row>
    <row r="430" spans="2:47" ht="17.25" customHeight="1" x14ac:dyDescent="0.25"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AF430" s="82">
        <v>8</v>
      </c>
      <c r="AQ430" s="146">
        <v>20</v>
      </c>
      <c r="AR430" s="146">
        <v>42</v>
      </c>
      <c r="AS430" s="146">
        <v>1.1000000000000001</v>
      </c>
      <c r="AT430" s="176"/>
    </row>
    <row r="431" spans="2:47" ht="17.25" customHeight="1" x14ac:dyDescent="0.25">
      <c r="B431" s="1"/>
      <c r="C431" s="1"/>
      <c r="D431" s="1"/>
      <c r="E431" s="33" t="s">
        <v>708</v>
      </c>
      <c r="F431" s="184">
        <f>IF(G421&gt;AM420:AM420,"Hatalı Giriş",ATAN(C426/C428)*180/3.1416)</f>
        <v>50.194311531600086</v>
      </c>
      <c r="G431" s="184"/>
      <c r="H431" s="184"/>
      <c r="AF431" s="82">
        <v>9</v>
      </c>
      <c r="AQ431" s="146">
        <v>100</v>
      </c>
      <c r="AR431" s="146">
        <v>46</v>
      </c>
      <c r="AS431" s="146">
        <v>1.3</v>
      </c>
      <c r="AT431" s="176"/>
    </row>
    <row r="432" spans="2:47" ht="17.25" customHeight="1" x14ac:dyDescent="0.25">
      <c r="B432" s="1"/>
      <c r="C432" s="1"/>
      <c r="D432" s="1"/>
      <c r="E432" s="33" t="s">
        <v>709</v>
      </c>
      <c r="F432" s="184" t="str">
        <f>IF(G422=AF422,"-",IF(G422&gt;=G421,"Hatalı Giriş",ATAN(C427/C429)*180/3.1416))</f>
        <v>-</v>
      </c>
      <c r="G432" s="184"/>
      <c r="H432" s="184"/>
      <c r="AH432" s="173" t="s">
        <v>730</v>
      </c>
      <c r="AI432" s="174"/>
      <c r="AJ432" s="173" t="s">
        <v>731</v>
      </c>
      <c r="AK432" s="174"/>
    </row>
    <row r="433" spans="1:37" ht="17.25" customHeight="1" x14ac:dyDescent="0.25">
      <c r="B433" s="1"/>
      <c r="C433" s="1"/>
      <c r="D433" s="1"/>
      <c r="E433" s="1"/>
      <c r="F433" s="1"/>
      <c r="G433" s="1"/>
      <c r="H433" s="1"/>
      <c r="AH433" s="175" t="s">
        <v>727</v>
      </c>
      <c r="AI433" s="175"/>
      <c r="AJ433" s="175" t="s">
        <v>727</v>
      </c>
      <c r="AK433" s="175"/>
    </row>
    <row r="434" spans="1:37" ht="17.25" customHeight="1" x14ac:dyDescent="0.25">
      <c r="B434" s="1"/>
      <c r="C434" s="1"/>
      <c r="D434" s="147" t="s">
        <v>725</v>
      </c>
      <c r="E434" s="189" t="s">
        <v>726</v>
      </c>
      <c r="F434" s="189"/>
      <c r="G434" s="189"/>
      <c r="H434" s="189"/>
      <c r="AF434" s="152"/>
      <c r="AG434" s="151" t="s">
        <v>723</v>
      </c>
      <c r="AH434" s="171">
        <v>20</v>
      </c>
      <c r="AI434" s="172"/>
      <c r="AJ434" s="171">
        <v>20</v>
      </c>
      <c r="AK434" s="172"/>
    </row>
    <row r="435" spans="1:37" ht="17.25" customHeight="1" x14ac:dyDescent="0.25">
      <c r="B435" s="1"/>
      <c r="C435" s="1"/>
      <c r="D435" s="1"/>
      <c r="E435" s="1"/>
      <c r="G435" s="1"/>
      <c r="H435" s="1"/>
      <c r="AF435" s="152"/>
      <c r="AG435" s="151" t="s">
        <v>726</v>
      </c>
      <c r="AH435" s="171">
        <f>(POWER(3.1416,2)*(INDEX($AF$22:$AR$33,MATCH($H$236,$AF$22:$AF$33,0),9)*1000)*AH417/POWER(SQRT(C426*C426+C428*C428)*10,2))/(1000*2)</f>
        <v>47.940014863387979</v>
      </c>
      <c r="AI435" s="172"/>
      <c r="AJ435" s="171" t="str">
        <f>IF(G422=AF422,"-",(POWER(3.1416,2)*(INDEX($AF$22:$AR$33,MATCH($H$236,$AF$22:$AF$33,0),9)*1000)*AH417/POWER(SQRT(C427*C427+C429*C429)*10,2))/(1000*2))</f>
        <v>-</v>
      </c>
      <c r="AK435" s="172"/>
    </row>
    <row r="436" spans="1:37" ht="17.25" customHeight="1" x14ac:dyDescent="0.25">
      <c r="A436" s="180" t="s">
        <v>719</v>
      </c>
      <c r="B436" s="180"/>
      <c r="C436" s="180"/>
      <c r="D436" s="180"/>
      <c r="E436" s="180"/>
      <c r="F436" s="180"/>
      <c r="G436" s="188">
        <f>IF(G422&lt;&gt;AF422,(2*ABS(COS(F431)*(((E424/100*(O265-C427)*(O265-C427)/2)-(E424/100*O265*O265/2)))/(C426-C427))),2*(E424/100*O265))</f>
        <v>20.275199999999998</v>
      </c>
      <c r="H436" s="188"/>
      <c r="AF436" s="152"/>
      <c r="AG436" s="151" t="s">
        <v>724</v>
      </c>
      <c r="AH436" s="171">
        <v>12</v>
      </c>
      <c r="AI436" s="172"/>
      <c r="AJ436" s="171">
        <v>12</v>
      </c>
      <c r="AK436" s="172"/>
    </row>
    <row r="437" spans="1:37" ht="17.25" customHeight="1" x14ac:dyDescent="0.25">
      <c r="A437" s="180" t="s">
        <v>720</v>
      </c>
      <c r="B437" s="180"/>
      <c r="C437" s="180"/>
      <c r="D437" s="180"/>
      <c r="E437" s="180"/>
      <c r="F437" s="180"/>
      <c r="G437" s="188" t="str">
        <f>IF(G422&lt;&gt;AF422,E354/100*E424-G436,"-")</f>
        <v>-</v>
      </c>
      <c r="H437" s="188"/>
    </row>
    <row r="439" spans="1:37" ht="17.25" customHeight="1" x14ac:dyDescent="0.25">
      <c r="A439" s="180" t="s">
        <v>721</v>
      </c>
      <c r="B439" s="180"/>
      <c r="C439" s="180"/>
      <c r="D439" s="180"/>
      <c r="E439" s="180"/>
      <c r="F439" s="180"/>
      <c r="G439" s="188">
        <f>INDEX(AG434:AH436,MATCH(E434,AG434:AG436,0),2)</f>
        <v>47.940014863387979</v>
      </c>
      <c r="H439" s="188"/>
    </row>
    <row r="440" spans="1:37" ht="17.25" customHeight="1" x14ac:dyDescent="0.25">
      <c r="A440" s="180" t="s">
        <v>722</v>
      </c>
      <c r="B440" s="180"/>
      <c r="C440" s="180"/>
      <c r="D440" s="180"/>
      <c r="E440" s="180"/>
      <c r="F440" s="180"/>
      <c r="G440" s="188" t="str">
        <f>INDEX(AG434:AK436,MATCH(E434,AG434:AG436,0),4)</f>
        <v>-</v>
      </c>
      <c r="H440" s="188"/>
    </row>
  </sheetData>
  <mergeCells count="836">
    <mergeCell ref="AJ2:AK2"/>
    <mergeCell ref="AL2:AM2"/>
    <mergeCell ref="AN2:AO2"/>
    <mergeCell ref="AP2:AQ2"/>
    <mergeCell ref="D18:E18"/>
    <mergeCell ref="O5:T5"/>
    <mergeCell ref="B5:G5"/>
    <mergeCell ref="AJ3:AK3"/>
    <mergeCell ref="AJ4:AK4"/>
    <mergeCell ref="B4:G4"/>
    <mergeCell ref="B6:G6"/>
    <mergeCell ref="D11:E11"/>
    <mergeCell ref="D12:E12"/>
    <mergeCell ref="D13:E13"/>
    <mergeCell ref="AO16:AO20"/>
    <mergeCell ref="AP16:AP20"/>
    <mergeCell ref="AQ16:AQ20"/>
    <mergeCell ref="E2:T2"/>
    <mergeCell ref="F18:H18"/>
    <mergeCell ref="H5:J5"/>
    <mergeCell ref="H7:J7"/>
    <mergeCell ref="H8:J8"/>
    <mergeCell ref="H9:J9"/>
    <mergeCell ref="D28:E28"/>
    <mergeCell ref="O6:T6"/>
    <mergeCell ref="O7:T7"/>
    <mergeCell ref="O8:T8"/>
    <mergeCell ref="F14:H14"/>
    <mergeCell ref="F16:H16"/>
    <mergeCell ref="F19:H19"/>
    <mergeCell ref="D19:E19"/>
    <mergeCell ref="D20:E20"/>
    <mergeCell ref="D21:E21"/>
    <mergeCell ref="D25:E25"/>
    <mergeCell ref="D26:E26"/>
    <mergeCell ref="D27:E27"/>
    <mergeCell ref="D14:E14"/>
    <mergeCell ref="F20:H20"/>
    <mergeCell ref="F21:H21"/>
    <mergeCell ref="F26:H26"/>
    <mergeCell ref="F27:H27"/>
    <mergeCell ref="F28:H28"/>
    <mergeCell ref="F12:H12"/>
    <mergeCell ref="F13:H13"/>
    <mergeCell ref="B7:G7"/>
    <mergeCell ref="B8:G8"/>
    <mergeCell ref="B18:C24"/>
    <mergeCell ref="AS10:AT10"/>
    <mergeCell ref="AH11:AI11"/>
    <mergeCell ref="AJ11:AK11"/>
    <mergeCell ref="AM11:AN11"/>
    <mergeCell ref="AJ5:AK5"/>
    <mergeCell ref="AL3:AM3"/>
    <mergeCell ref="AL4:AM4"/>
    <mergeCell ref="AL5:AM5"/>
    <mergeCell ref="AN3:AO3"/>
    <mergeCell ref="AN4:AO4"/>
    <mergeCell ref="AN5:AO5"/>
    <mergeCell ref="AP10:AQ10"/>
    <mergeCell ref="AP3:AQ3"/>
    <mergeCell ref="AP4:AQ4"/>
    <mergeCell ref="AP8:AQ8"/>
    <mergeCell ref="AH10:AI10"/>
    <mergeCell ref="AJ10:AK10"/>
    <mergeCell ref="AM10:AN10"/>
    <mergeCell ref="AL6:AM6"/>
    <mergeCell ref="AN6:AO6"/>
    <mergeCell ref="AP6:AQ6"/>
    <mergeCell ref="AM9:AN9"/>
    <mergeCell ref="AP9:AQ9"/>
    <mergeCell ref="AS9:AT9"/>
    <mergeCell ref="AS14:AT14"/>
    <mergeCell ref="AJ8:AK8"/>
    <mergeCell ref="AL8:AM8"/>
    <mergeCell ref="AN8:AO8"/>
    <mergeCell ref="AH14:AI14"/>
    <mergeCell ref="AJ14:AK14"/>
    <mergeCell ref="AM14:AN14"/>
    <mergeCell ref="AP14:AQ14"/>
    <mergeCell ref="AN7:AO7"/>
    <mergeCell ref="AP7:AQ7"/>
    <mergeCell ref="AH13:AI13"/>
    <mergeCell ref="AJ13:AK13"/>
    <mergeCell ref="AM13:AN13"/>
    <mergeCell ref="AP13:AQ13"/>
    <mergeCell ref="AS13:AT13"/>
    <mergeCell ref="AP11:AQ11"/>
    <mergeCell ref="AS11:AT11"/>
    <mergeCell ref="AH12:AI12"/>
    <mergeCell ref="AJ12:AK12"/>
    <mergeCell ref="AM12:AN12"/>
    <mergeCell ref="AP12:AQ12"/>
    <mergeCell ref="AS12:AT12"/>
    <mergeCell ref="AH9:AI9"/>
    <mergeCell ref="AJ9:AK9"/>
    <mergeCell ref="AG21:AL21"/>
    <mergeCell ref="AR16:AR20"/>
    <mergeCell ref="AN37:AT37"/>
    <mergeCell ref="AF16:AF20"/>
    <mergeCell ref="AG16:AG20"/>
    <mergeCell ref="AH16:AH20"/>
    <mergeCell ref="AI16:AI20"/>
    <mergeCell ref="AJ16:AJ20"/>
    <mergeCell ref="AK16:AK20"/>
    <mergeCell ref="AM21:AP21"/>
    <mergeCell ref="AQ21:AR21"/>
    <mergeCell ref="AL16:AL20"/>
    <mergeCell ref="AM16:AM20"/>
    <mergeCell ref="AN16:AN20"/>
    <mergeCell ref="AF37:AG38"/>
    <mergeCell ref="AH37:AM37"/>
    <mergeCell ref="AF36:AT36"/>
    <mergeCell ref="AQ38:AT38"/>
    <mergeCell ref="AN38:AP38"/>
    <mergeCell ref="AN39:AP39"/>
    <mergeCell ref="AN40:AP40"/>
    <mergeCell ref="AQ39:AT39"/>
    <mergeCell ref="AQ40:AT40"/>
    <mergeCell ref="AH38:AJ38"/>
    <mergeCell ref="AK38:AM38"/>
    <mergeCell ref="AH39:AJ39"/>
    <mergeCell ref="AH40:AJ40"/>
    <mergeCell ref="AK39:AM39"/>
    <mergeCell ref="AK40:AM40"/>
    <mergeCell ref="AU48:AX48"/>
    <mergeCell ref="AU49:AX49"/>
    <mergeCell ref="AU50:AX50"/>
    <mergeCell ref="AF39:AG39"/>
    <mergeCell ref="AF40:AG40"/>
    <mergeCell ref="AO47:AQ47"/>
    <mergeCell ref="AO48:AQ48"/>
    <mergeCell ref="AF49:AI49"/>
    <mergeCell ref="AF50:AI50"/>
    <mergeCell ref="AF43:AI43"/>
    <mergeCell ref="AF44:AI44"/>
    <mergeCell ref="AF45:AI45"/>
    <mergeCell ref="AF46:AI46"/>
    <mergeCell ref="AF47:AI47"/>
    <mergeCell ref="AF48:AI48"/>
    <mergeCell ref="AO42:AQ43"/>
    <mergeCell ref="AO44:AQ44"/>
    <mergeCell ref="AO45:AQ45"/>
    <mergeCell ref="AO46:AQ46"/>
    <mergeCell ref="AL46:AN46"/>
    <mergeCell ref="AJ44:AK44"/>
    <mergeCell ref="AL44:AN44"/>
    <mergeCell ref="AL45:AN45"/>
    <mergeCell ref="AJ45:AK45"/>
    <mergeCell ref="AJ46:AK46"/>
    <mergeCell ref="AJ47:AK47"/>
    <mergeCell ref="AJ48:AK48"/>
    <mergeCell ref="AJ49:AK49"/>
    <mergeCell ref="AJ50:AK50"/>
    <mergeCell ref="AR50:AT50"/>
    <mergeCell ref="AF111:AM111"/>
    <mergeCell ref="AF110:AM110"/>
    <mergeCell ref="AF109:AM109"/>
    <mergeCell ref="AF108:AM108"/>
    <mergeCell ref="AF107:AM107"/>
    <mergeCell ref="AN111:AP111"/>
    <mergeCell ref="AQ111:AS111"/>
    <mergeCell ref="AN109:AP109"/>
    <mergeCell ref="AQ109:AS109"/>
    <mergeCell ref="AN110:AP110"/>
    <mergeCell ref="AQ110:AS110"/>
    <mergeCell ref="AN107:AP107"/>
    <mergeCell ref="AQ107:AS107"/>
    <mergeCell ref="AN108:AP108"/>
    <mergeCell ref="AQ108:AS108"/>
    <mergeCell ref="AF103:AM103"/>
    <mergeCell ref="AW105:AY105"/>
    <mergeCell ref="AW106:AY106"/>
    <mergeCell ref="AW107:AY107"/>
    <mergeCell ref="AW108:AY108"/>
    <mergeCell ref="AW109:AY109"/>
    <mergeCell ref="AW110:AY110"/>
    <mergeCell ref="AZ105:BB105"/>
    <mergeCell ref="BC105:BE105"/>
    <mergeCell ref="AT106:AV106"/>
    <mergeCell ref="AT107:AV107"/>
    <mergeCell ref="AT108:AV108"/>
    <mergeCell ref="AT109:AV109"/>
    <mergeCell ref="BC106:BE106"/>
    <mergeCell ref="BC107:BE107"/>
    <mergeCell ref="BC108:BE108"/>
    <mergeCell ref="BC109:BE109"/>
    <mergeCell ref="AF106:AM106"/>
    <mergeCell ref="AF105:AM105"/>
    <mergeCell ref="AF104:AM104"/>
    <mergeCell ref="AQ105:AS105"/>
    <mergeCell ref="AT105:AV105"/>
    <mergeCell ref="AT110:AV110"/>
    <mergeCell ref="AN106:AP106"/>
    <mergeCell ref="BC110:BE110"/>
    <mergeCell ref="BC111:BE111"/>
    <mergeCell ref="AQ104:BE104"/>
    <mergeCell ref="AQ103:BE103"/>
    <mergeCell ref="AN103:AP105"/>
    <mergeCell ref="AW111:AY111"/>
    <mergeCell ref="AZ106:BB106"/>
    <mergeCell ref="AZ107:BB107"/>
    <mergeCell ref="AZ108:BB108"/>
    <mergeCell ref="AZ109:BB109"/>
    <mergeCell ref="AZ110:BB110"/>
    <mergeCell ref="AZ111:BB111"/>
    <mergeCell ref="AT111:AV111"/>
    <mergeCell ref="AQ106:AS106"/>
    <mergeCell ref="AF66:AZ66"/>
    <mergeCell ref="AR8:AS8"/>
    <mergeCell ref="AJ7:AK7"/>
    <mergeCell ref="AL7:AM7"/>
    <mergeCell ref="AU42:AX43"/>
    <mergeCell ref="AU44:AX44"/>
    <mergeCell ref="AU45:AX45"/>
    <mergeCell ref="AU46:AX46"/>
    <mergeCell ref="AU47:AX47"/>
    <mergeCell ref="AR42:AT43"/>
    <mergeCell ref="AR44:AT44"/>
    <mergeCell ref="AR45:AT45"/>
    <mergeCell ref="AR49:AT49"/>
    <mergeCell ref="AR46:AT46"/>
    <mergeCell ref="AR47:AT47"/>
    <mergeCell ref="AR48:AT48"/>
    <mergeCell ref="AO49:AQ49"/>
    <mergeCell ref="AO50:AQ50"/>
    <mergeCell ref="AL47:AN47"/>
    <mergeCell ref="AL48:AN48"/>
    <mergeCell ref="AL49:AN49"/>
    <mergeCell ref="AL50:AN50"/>
    <mergeCell ref="AJ42:AK43"/>
    <mergeCell ref="AL42:AN43"/>
    <mergeCell ref="R32:T32"/>
    <mergeCell ref="U8:V8"/>
    <mergeCell ref="AT2:AU2"/>
    <mergeCell ref="AT3:AU3"/>
    <mergeCell ref="AT4:AU4"/>
    <mergeCell ref="AT5:AU5"/>
    <mergeCell ref="AT6:AU6"/>
    <mergeCell ref="AT8:AU8"/>
    <mergeCell ref="R27:T27"/>
    <mergeCell ref="R28:T28"/>
    <mergeCell ref="R29:T29"/>
    <mergeCell ref="R31:T31"/>
    <mergeCell ref="AR7:AS7"/>
    <mergeCell ref="AT7:AU7"/>
    <mergeCell ref="AR2:AS2"/>
    <mergeCell ref="AR3:AS3"/>
    <mergeCell ref="AR4:AS4"/>
    <mergeCell ref="AR5:AS5"/>
    <mergeCell ref="AR6:AS6"/>
    <mergeCell ref="U5:X5"/>
    <mergeCell ref="AP5:AQ5"/>
    <mergeCell ref="O9:T9"/>
    <mergeCell ref="U9:V9"/>
    <mergeCell ref="AJ6:AK6"/>
    <mergeCell ref="F25:H25"/>
    <mergeCell ref="H6:J6"/>
    <mergeCell ref="M32:Q32"/>
    <mergeCell ref="M26:Q26"/>
    <mergeCell ref="M28:Q28"/>
    <mergeCell ref="M29:Q29"/>
    <mergeCell ref="M31:Q31"/>
    <mergeCell ref="B9:G9"/>
    <mergeCell ref="M27:Q27"/>
    <mergeCell ref="F11:H11"/>
    <mergeCell ref="O10:O11"/>
    <mergeCell ref="P10:P11"/>
    <mergeCell ref="Q10:Y11"/>
    <mergeCell ref="B25:C31"/>
    <mergeCell ref="D16:E16"/>
    <mergeCell ref="D17:E17"/>
    <mergeCell ref="F17:H17"/>
    <mergeCell ref="B11:C17"/>
    <mergeCell ref="D23:E23"/>
    <mergeCell ref="D24:E24"/>
    <mergeCell ref="F23:H23"/>
    <mergeCell ref="F24:H24"/>
    <mergeCell ref="D15:E15"/>
    <mergeCell ref="F15:H15"/>
    <mergeCell ref="F36:G36"/>
    <mergeCell ref="F37:G37"/>
    <mergeCell ref="B35:E35"/>
    <mergeCell ref="B36:E36"/>
    <mergeCell ref="F35:G35"/>
    <mergeCell ref="K76:M76"/>
    <mergeCell ref="E40:G40"/>
    <mergeCell ref="E41:G41"/>
    <mergeCell ref="B46:W46"/>
    <mergeCell ref="F73:H73"/>
    <mergeCell ref="F75:G75"/>
    <mergeCell ref="F152:G152"/>
    <mergeCell ref="F154:G154"/>
    <mergeCell ref="F162:H162"/>
    <mergeCell ref="S96:U96"/>
    <mergeCell ref="O98:T98"/>
    <mergeCell ref="U98:X98"/>
    <mergeCell ref="O99:T99"/>
    <mergeCell ref="F79:G79"/>
    <mergeCell ref="O100:T100"/>
    <mergeCell ref="O101:T101"/>
    <mergeCell ref="U101:V101"/>
    <mergeCell ref="O102:T102"/>
    <mergeCell ref="U102:V102"/>
    <mergeCell ref="O103:O104"/>
    <mergeCell ref="P103:P104"/>
    <mergeCell ref="Q103:Y104"/>
    <mergeCell ref="G109:I109"/>
    <mergeCell ref="E105:F105"/>
    <mergeCell ref="G105:I105"/>
    <mergeCell ref="R93:U93"/>
    <mergeCell ref="E102:F102"/>
    <mergeCell ref="G102:I102"/>
    <mergeCell ref="E103:F103"/>
    <mergeCell ref="G103:I103"/>
    <mergeCell ref="C107:D113"/>
    <mergeCell ref="E107:F107"/>
    <mergeCell ref="G107:I107"/>
    <mergeCell ref="E108:F108"/>
    <mergeCell ref="G108:I108"/>
    <mergeCell ref="E109:F109"/>
    <mergeCell ref="D22:E22"/>
    <mergeCell ref="D29:E29"/>
    <mergeCell ref="F22:H22"/>
    <mergeCell ref="F29:H29"/>
    <mergeCell ref="B91:W91"/>
    <mergeCell ref="F77:G77"/>
    <mergeCell ref="F55:G55"/>
    <mergeCell ref="F62:H62"/>
    <mergeCell ref="F64:G64"/>
    <mergeCell ref="F66:G66"/>
    <mergeCell ref="K64:M64"/>
    <mergeCell ref="D30:E30"/>
    <mergeCell ref="D31:E31"/>
    <mergeCell ref="F30:H30"/>
    <mergeCell ref="F31:H31"/>
    <mergeCell ref="B37:E37"/>
    <mergeCell ref="F51:G51"/>
    <mergeCell ref="F53:G53"/>
    <mergeCell ref="C93:D99"/>
    <mergeCell ref="E93:F93"/>
    <mergeCell ref="G93:I93"/>
    <mergeCell ref="E94:F94"/>
    <mergeCell ref="G94:I94"/>
    <mergeCell ref="E95:F95"/>
    <mergeCell ref="G95:I95"/>
    <mergeCell ref="E96:F96"/>
    <mergeCell ref="G96:I96"/>
    <mergeCell ref="E97:F97"/>
    <mergeCell ref="E104:F104"/>
    <mergeCell ref="G104:I104"/>
    <mergeCell ref="G97:I97"/>
    <mergeCell ref="E98:F98"/>
    <mergeCell ref="G98:I98"/>
    <mergeCell ref="E99:F99"/>
    <mergeCell ref="G99:I99"/>
    <mergeCell ref="E100:F100"/>
    <mergeCell ref="G100:I100"/>
    <mergeCell ref="E101:F101"/>
    <mergeCell ref="G101:I101"/>
    <mergeCell ref="U212:V212"/>
    <mergeCell ref="E113:F113"/>
    <mergeCell ref="G113:I113"/>
    <mergeCell ref="K154:M154"/>
    <mergeCell ref="I202:P202"/>
    <mergeCell ref="F156:H156"/>
    <mergeCell ref="F173:G173"/>
    <mergeCell ref="F175:G175"/>
    <mergeCell ref="K175:M175"/>
    <mergeCell ref="M204:P204"/>
    <mergeCell ref="M206:P206"/>
    <mergeCell ref="M208:P208"/>
    <mergeCell ref="M210:P210"/>
    <mergeCell ref="L212:O212"/>
    <mergeCell ref="K189:M189"/>
    <mergeCell ref="E203:F203"/>
    <mergeCell ref="E206:G206"/>
    <mergeCell ref="E208:G208"/>
    <mergeCell ref="E210:G210"/>
    <mergeCell ref="B202:G202"/>
    <mergeCell ref="F166:G166"/>
    <mergeCell ref="E204:G204"/>
    <mergeCell ref="F177:H177"/>
    <mergeCell ref="F187:H187"/>
    <mergeCell ref="G217:H217"/>
    <mergeCell ref="I217:K217"/>
    <mergeCell ref="L217:N217"/>
    <mergeCell ref="I214:K214"/>
    <mergeCell ref="L214:N214"/>
    <mergeCell ref="G214:H214"/>
    <mergeCell ref="G215:H215"/>
    <mergeCell ref="I215:K215"/>
    <mergeCell ref="L215:N215"/>
    <mergeCell ref="G216:H216"/>
    <mergeCell ref="I216:K216"/>
    <mergeCell ref="L216:N216"/>
    <mergeCell ref="Q110:R110"/>
    <mergeCell ref="S110:U110"/>
    <mergeCell ref="V204:Y204"/>
    <mergeCell ref="V206:Y206"/>
    <mergeCell ref="V208:Y208"/>
    <mergeCell ref="V210:Y210"/>
    <mergeCell ref="O105:T105"/>
    <mergeCell ref="B148:U148"/>
    <mergeCell ref="B169:U169"/>
    <mergeCell ref="O106:T106"/>
    <mergeCell ref="S202:X202"/>
    <mergeCell ref="E110:F110"/>
    <mergeCell ref="G110:I110"/>
    <mergeCell ref="E111:F111"/>
    <mergeCell ref="G111:I111"/>
    <mergeCell ref="E112:F112"/>
    <mergeCell ref="G112:I112"/>
    <mergeCell ref="F189:G189"/>
    <mergeCell ref="F191:G191"/>
    <mergeCell ref="E106:F106"/>
    <mergeCell ref="G106:I106"/>
    <mergeCell ref="F164:G164"/>
    <mergeCell ref="K164:M164"/>
    <mergeCell ref="C100:D106"/>
    <mergeCell ref="B237:G237"/>
    <mergeCell ref="B238:G238"/>
    <mergeCell ref="B194:Y194"/>
    <mergeCell ref="K53:M53"/>
    <mergeCell ref="B233:G233"/>
    <mergeCell ref="B234:G234"/>
    <mergeCell ref="B235:G235"/>
    <mergeCell ref="H235:J235"/>
    <mergeCell ref="B231:Y231"/>
    <mergeCell ref="S234:V234"/>
    <mergeCell ref="Q111:R111"/>
    <mergeCell ref="S111:U111"/>
    <mergeCell ref="Q112:R112"/>
    <mergeCell ref="S112:U112"/>
    <mergeCell ref="Q113:R113"/>
    <mergeCell ref="S113:U113"/>
    <mergeCell ref="U106:X106"/>
    <mergeCell ref="O107:P113"/>
    <mergeCell ref="Q107:R107"/>
    <mergeCell ref="S107:U107"/>
    <mergeCell ref="Q108:R108"/>
    <mergeCell ref="S108:U108"/>
    <mergeCell ref="Q109:R109"/>
    <mergeCell ref="S109:U109"/>
    <mergeCell ref="AP231:AQ231"/>
    <mergeCell ref="AR231:AS231"/>
    <mergeCell ref="AT231:AU231"/>
    <mergeCell ref="AJ232:AK232"/>
    <mergeCell ref="AL232:AM232"/>
    <mergeCell ref="AN232:AO232"/>
    <mergeCell ref="AP232:AQ232"/>
    <mergeCell ref="AR232:AS232"/>
    <mergeCell ref="AT232:AU232"/>
    <mergeCell ref="AJ231:AK231"/>
    <mergeCell ref="AL231:AM231"/>
    <mergeCell ref="AN231:AO231"/>
    <mergeCell ref="AP233:AQ233"/>
    <mergeCell ref="AR233:AS233"/>
    <mergeCell ref="AT233:AU233"/>
    <mergeCell ref="AJ234:AK234"/>
    <mergeCell ref="AL234:AM234"/>
    <mergeCell ref="AN234:AO234"/>
    <mergeCell ref="AP234:AQ234"/>
    <mergeCell ref="AR234:AS234"/>
    <mergeCell ref="AT234:AU234"/>
    <mergeCell ref="AJ233:AK233"/>
    <mergeCell ref="AL233:AM233"/>
    <mergeCell ref="AN233:AO233"/>
    <mergeCell ref="AT236:AU236"/>
    <mergeCell ref="AJ237:AK237"/>
    <mergeCell ref="AL237:AM237"/>
    <mergeCell ref="AN237:AO237"/>
    <mergeCell ref="AP237:AQ237"/>
    <mergeCell ref="AR237:AS237"/>
    <mergeCell ref="AT237:AU237"/>
    <mergeCell ref="AL235:AM235"/>
    <mergeCell ref="AN235:AO235"/>
    <mergeCell ref="AP235:AQ235"/>
    <mergeCell ref="AR235:AS235"/>
    <mergeCell ref="AT235:AU235"/>
    <mergeCell ref="AJ236:AK236"/>
    <mergeCell ref="AL236:AM236"/>
    <mergeCell ref="AN236:AO236"/>
    <mergeCell ref="AP236:AQ236"/>
    <mergeCell ref="AR236:AS236"/>
    <mergeCell ref="AJ235:AK235"/>
    <mergeCell ref="AJ239:AK239"/>
    <mergeCell ref="AM239:AN239"/>
    <mergeCell ref="AP239:AQ239"/>
    <mergeCell ref="AS239:AT239"/>
    <mergeCell ref="AH240:AI240"/>
    <mergeCell ref="AJ240:AK240"/>
    <mergeCell ref="AM240:AN240"/>
    <mergeCell ref="AP240:AQ240"/>
    <mergeCell ref="AS240:AT240"/>
    <mergeCell ref="AJ241:AK241"/>
    <mergeCell ref="AM241:AN241"/>
    <mergeCell ref="AP241:AQ241"/>
    <mergeCell ref="AS241:AT241"/>
    <mergeCell ref="AH242:AI242"/>
    <mergeCell ref="AJ242:AK242"/>
    <mergeCell ref="AM242:AN242"/>
    <mergeCell ref="AP242:AQ242"/>
    <mergeCell ref="AS242:AT242"/>
    <mergeCell ref="AJ243:AK243"/>
    <mergeCell ref="AM243:AN243"/>
    <mergeCell ref="AP243:AQ243"/>
    <mergeCell ref="AS243:AT243"/>
    <mergeCell ref="AH249:AI249"/>
    <mergeCell ref="AJ249:AK249"/>
    <mergeCell ref="AM249:AN249"/>
    <mergeCell ref="AP249:AQ249"/>
    <mergeCell ref="AS249:AT249"/>
    <mergeCell ref="AJ244:AK244"/>
    <mergeCell ref="AM244:AN244"/>
    <mergeCell ref="AP244:AQ244"/>
    <mergeCell ref="AS244:AT244"/>
    <mergeCell ref="AH245:AI245"/>
    <mergeCell ref="AJ245:AK245"/>
    <mergeCell ref="AM245:AN245"/>
    <mergeCell ref="AP245:AQ245"/>
    <mergeCell ref="AS245:AT245"/>
    <mergeCell ref="AH248:AI248"/>
    <mergeCell ref="AJ248:AK248"/>
    <mergeCell ref="AM248:AN248"/>
    <mergeCell ref="AP248:AQ248"/>
    <mergeCell ref="AS248:AT248"/>
    <mergeCell ref="AM246:AN246"/>
    <mergeCell ref="W234:Y234"/>
    <mergeCell ref="W235:Y235"/>
    <mergeCell ref="W236:Y236"/>
    <mergeCell ref="V239:Y239"/>
    <mergeCell ref="V240:Y240"/>
    <mergeCell ref="AH244:AI244"/>
    <mergeCell ref="S235:V235"/>
    <mergeCell ref="S236:V236"/>
    <mergeCell ref="AH243:AI243"/>
    <mergeCell ref="AH241:AI241"/>
    <mergeCell ref="AH239:AI239"/>
    <mergeCell ref="AH246:AI246"/>
    <mergeCell ref="AJ246:AK246"/>
    <mergeCell ref="AP246:AQ246"/>
    <mergeCell ref="AS246:AT246"/>
    <mergeCell ref="AH247:AI247"/>
    <mergeCell ref="AJ247:AK247"/>
    <mergeCell ref="AM247:AN247"/>
    <mergeCell ref="AP247:AQ247"/>
    <mergeCell ref="AS247:AT247"/>
    <mergeCell ref="C266:D266"/>
    <mergeCell ref="K266:M266"/>
    <mergeCell ref="N266:P266"/>
    <mergeCell ref="B268:C274"/>
    <mergeCell ref="D268:E268"/>
    <mergeCell ref="O263:P263"/>
    <mergeCell ref="O265:Q265"/>
    <mergeCell ref="O264:Q264"/>
    <mergeCell ref="D265:E265"/>
    <mergeCell ref="D263:E263"/>
    <mergeCell ref="D264:E264"/>
    <mergeCell ref="K263:N263"/>
    <mergeCell ref="K264:N264"/>
    <mergeCell ref="K265:N265"/>
    <mergeCell ref="D272:E272"/>
    <mergeCell ref="F272:H272"/>
    <mergeCell ref="D273:E273"/>
    <mergeCell ref="F273:H273"/>
    <mergeCell ref="D274:E274"/>
    <mergeCell ref="F274:H274"/>
    <mergeCell ref="F268:H268"/>
    <mergeCell ref="D269:E269"/>
    <mergeCell ref="F269:H269"/>
    <mergeCell ref="D270:E270"/>
    <mergeCell ref="V268:Y268"/>
    <mergeCell ref="V269:Y269"/>
    <mergeCell ref="V270:Y270"/>
    <mergeCell ref="V271:Y271"/>
    <mergeCell ref="V272:Y272"/>
    <mergeCell ref="V273:Y273"/>
    <mergeCell ref="V274:Y274"/>
    <mergeCell ref="N268:Q268"/>
    <mergeCell ref="N269:Q269"/>
    <mergeCell ref="N270:Q270"/>
    <mergeCell ref="N271:Q271"/>
    <mergeCell ref="N272:Q272"/>
    <mergeCell ref="N273:Q273"/>
    <mergeCell ref="T273:U273"/>
    <mergeCell ref="T274:U274"/>
    <mergeCell ref="T270:U270"/>
    <mergeCell ref="T271:U271"/>
    <mergeCell ref="T272:U272"/>
    <mergeCell ref="T268:U268"/>
    <mergeCell ref="T269:U269"/>
    <mergeCell ref="F222:H222"/>
    <mergeCell ref="F224:G224"/>
    <mergeCell ref="K225:M225"/>
    <mergeCell ref="F226:G226"/>
    <mergeCell ref="F228:H228"/>
    <mergeCell ref="H237:J237"/>
    <mergeCell ref="F283:G283"/>
    <mergeCell ref="F285:G285"/>
    <mergeCell ref="K285:M285"/>
    <mergeCell ref="H239:J239"/>
    <mergeCell ref="H240:J240"/>
    <mergeCell ref="L273:M273"/>
    <mergeCell ref="L274:M274"/>
    <mergeCell ref="J268:K274"/>
    <mergeCell ref="L268:M268"/>
    <mergeCell ref="L269:M269"/>
    <mergeCell ref="L270:M270"/>
    <mergeCell ref="L271:M271"/>
    <mergeCell ref="L272:M272"/>
    <mergeCell ref="E266:F266"/>
    <mergeCell ref="B239:G239"/>
    <mergeCell ref="B240:G240"/>
    <mergeCell ref="H238:L238"/>
    <mergeCell ref="B236:G236"/>
    <mergeCell ref="L223:P223"/>
    <mergeCell ref="B354:W354"/>
    <mergeCell ref="B360:C366"/>
    <mergeCell ref="D360:E360"/>
    <mergeCell ref="F360:H360"/>
    <mergeCell ref="J360:K366"/>
    <mergeCell ref="B302:U302"/>
    <mergeCell ref="F306:H306"/>
    <mergeCell ref="I307:K307"/>
    <mergeCell ref="L307:O307"/>
    <mergeCell ref="F308:G308"/>
    <mergeCell ref="K309:M309"/>
    <mergeCell ref="I223:K223"/>
    <mergeCell ref="F298:G298"/>
    <mergeCell ref="B278:W278"/>
    <mergeCell ref="F287:G287"/>
    <mergeCell ref="F294:H294"/>
    <mergeCell ref="F296:G296"/>
    <mergeCell ref="K296:M296"/>
    <mergeCell ref="N274:Q274"/>
    <mergeCell ref="F270:H270"/>
    <mergeCell ref="D271:E271"/>
    <mergeCell ref="F271:H271"/>
    <mergeCell ref="S268:S274"/>
    <mergeCell ref="F310:G310"/>
    <mergeCell ref="F312:H312"/>
    <mergeCell ref="AI304:AJ304"/>
    <mergeCell ref="AI305:AJ305"/>
    <mergeCell ref="V364:Y364"/>
    <mergeCell ref="D363:E363"/>
    <mergeCell ref="F363:H363"/>
    <mergeCell ref="L363:M363"/>
    <mergeCell ref="N363:Q363"/>
    <mergeCell ref="T363:U363"/>
    <mergeCell ref="F364:H364"/>
    <mergeCell ref="L364:M364"/>
    <mergeCell ref="N364:Q364"/>
    <mergeCell ref="T364:U364"/>
    <mergeCell ref="B325:W325"/>
    <mergeCell ref="E340:G340"/>
    <mergeCell ref="AH340:AI340"/>
    <mergeCell ref="AH341:AI341"/>
    <mergeCell ref="B358:G358"/>
    <mergeCell ref="H358:J358"/>
    <mergeCell ref="F389:G389"/>
    <mergeCell ref="B392:U392"/>
    <mergeCell ref="F396:H396"/>
    <mergeCell ref="I397:K397"/>
    <mergeCell ref="L397:O397"/>
    <mergeCell ref="F398:G398"/>
    <mergeCell ref="F375:G375"/>
    <mergeCell ref="F377:G377"/>
    <mergeCell ref="K377:M377"/>
    <mergeCell ref="F379:G379"/>
    <mergeCell ref="D361:E361"/>
    <mergeCell ref="F361:H361"/>
    <mergeCell ref="L361:M361"/>
    <mergeCell ref="N361:Q361"/>
    <mergeCell ref="T361:U361"/>
    <mergeCell ref="D364:E364"/>
    <mergeCell ref="F385:H385"/>
    <mergeCell ref="F387:G387"/>
    <mergeCell ref="K387:M387"/>
    <mergeCell ref="D362:E362"/>
    <mergeCell ref="F362:H362"/>
    <mergeCell ref="L362:M362"/>
    <mergeCell ref="AH342:AI342"/>
    <mergeCell ref="V363:Y363"/>
    <mergeCell ref="AS329:AS333"/>
    <mergeCell ref="AR329:AR333"/>
    <mergeCell ref="AQ329:AQ333"/>
    <mergeCell ref="E330:G330"/>
    <mergeCell ref="C332:D332"/>
    <mergeCell ref="C333:D333"/>
    <mergeCell ref="C334:D334"/>
    <mergeCell ref="C335:D335"/>
    <mergeCell ref="B329:E329"/>
    <mergeCell ref="F329:G329"/>
    <mergeCell ref="N362:Q362"/>
    <mergeCell ref="T362:U362"/>
    <mergeCell ref="V362:Y362"/>
    <mergeCell ref="L360:M360"/>
    <mergeCell ref="N360:Q360"/>
    <mergeCell ref="S360:S366"/>
    <mergeCell ref="T360:U360"/>
    <mergeCell ref="V360:Y360"/>
    <mergeCell ref="F337:H337"/>
    <mergeCell ref="F338:H338"/>
    <mergeCell ref="G342:H342"/>
    <mergeCell ref="G343:H343"/>
    <mergeCell ref="G345:H345"/>
    <mergeCell ref="B327:F327"/>
    <mergeCell ref="B328:F328"/>
    <mergeCell ref="G327:K327"/>
    <mergeCell ref="G328:K328"/>
    <mergeCell ref="AT321:AU321"/>
    <mergeCell ref="AT320:AU320"/>
    <mergeCell ref="AT322:AU322"/>
    <mergeCell ref="AT323:AU323"/>
    <mergeCell ref="AH339:AI339"/>
    <mergeCell ref="AF322:AG322"/>
    <mergeCell ref="AH322:AI322"/>
    <mergeCell ref="AK322:AL322"/>
    <mergeCell ref="AN322:AO322"/>
    <mergeCell ref="AQ322:AR322"/>
    <mergeCell ref="AF323:AG323"/>
    <mergeCell ref="AH323:AI323"/>
    <mergeCell ref="AK323:AL323"/>
    <mergeCell ref="AN323:AO323"/>
    <mergeCell ref="AQ323:AR323"/>
    <mergeCell ref="AF320:AG320"/>
    <mergeCell ref="AH320:AI320"/>
    <mergeCell ref="AK320:AL320"/>
    <mergeCell ref="AN320:AO320"/>
    <mergeCell ref="AQ320:AR320"/>
    <mergeCell ref="AN321:AO321"/>
    <mergeCell ref="AQ321:AR321"/>
    <mergeCell ref="AT329:AT333"/>
    <mergeCell ref="AT334:AT337"/>
    <mergeCell ref="AR423:AR427"/>
    <mergeCell ref="AS423:AS427"/>
    <mergeCell ref="AT423:AT427"/>
    <mergeCell ref="E424:G424"/>
    <mergeCell ref="AN414:AO414"/>
    <mergeCell ref="AQ414:AR414"/>
    <mergeCell ref="AT414:AU414"/>
    <mergeCell ref="AQ417:AR417"/>
    <mergeCell ref="AT417:AU417"/>
    <mergeCell ref="AF416:AG416"/>
    <mergeCell ref="AH416:AI416"/>
    <mergeCell ref="AK416:AL416"/>
    <mergeCell ref="AN416:AO416"/>
    <mergeCell ref="AQ416:AR416"/>
    <mergeCell ref="AT416:AU416"/>
    <mergeCell ref="AF415:AG415"/>
    <mergeCell ref="AH415:AI415"/>
    <mergeCell ref="AK415:AL415"/>
    <mergeCell ref="AN415:AO415"/>
    <mergeCell ref="G346:H346"/>
    <mergeCell ref="B419:W419"/>
    <mergeCell ref="B421:F421"/>
    <mergeCell ref="G421:K421"/>
    <mergeCell ref="B422:F422"/>
    <mergeCell ref="G422:K422"/>
    <mergeCell ref="D366:E366"/>
    <mergeCell ref="F366:H366"/>
    <mergeCell ref="L366:M366"/>
    <mergeCell ref="N366:Q366"/>
    <mergeCell ref="T366:U366"/>
    <mergeCell ref="V366:Y366"/>
    <mergeCell ref="D365:E365"/>
    <mergeCell ref="F365:H365"/>
    <mergeCell ref="L365:M365"/>
    <mergeCell ref="N365:Q365"/>
    <mergeCell ref="T365:U365"/>
    <mergeCell ref="V365:Y365"/>
    <mergeCell ref="F400:G400"/>
    <mergeCell ref="F402:H402"/>
    <mergeCell ref="B356:G356"/>
    <mergeCell ref="H356:L356"/>
    <mergeCell ref="B357:G357"/>
    <mergeCell ref="H357:J357"/>
    <mergeCell ref="A437:F437"/>
    <mergeCell ref="G437:H437"/>
    <mergeCell ref="A439:F439"/>
    <mergeCell ref="G439:H439"/>
    <mergeCell ref="A440:F440"/>
    <mergeCell ref="G440:H440"/>
    <mergeCell ref="E434:H434"/>
    <mergeCell ref="AH434:AI434"/>
    <mergeCell ref="AH435:AI435"/>
    <mergeCell ref="A436:F436"/>
    <mergeCell ref="G436:H436"/>
    <mergeCell ref="AH436:AI436"/>
    <mergeCell ref="C428:D428"/>
    <mergeCell ref="AT428:AT431"/>
    <mergeCell ref="C429:D429"/>
    <mergeCell ref="F431:H431"/>
    <mergeCell ref="F432:H432"/>
    <mergeCell ref="AH433:AI433"/>
    <mergeCell ref="B423:E423"/>
    <mergeCell ref="F423:G423"/>
    <mergeCell ref="AQ423:AQ427"/>
    <mergeCell ref="C426:D426"/>
    <mergeCell ref="C427:D427"/>
    <mergeCell ref="AQ415:AR415"/>
    <mergeCell ref="AT415:AU415"/>
    <mergeCell ref="AM420:AN420"/>
    <mergeCell ref="AJ435:AK435"/>
    <mergeCell ref="AH432:AI432"/>
    <mergeCell ref="AJ432:AK432"/>
    <mergeCell ref="AJ433:AK433"/>
    <mergeCell ref="AJ434:AK434"/>
    <mergeCell ref="AF417:AG417"/>
    <mergeCell ref="AH417:AI417"/>
    <mergeCell ref="AK417:AL417"/>
    <mergeCell ref="AN417:AO417"/>
    <mergeCell ref="B219:U219"/>
    <mergeCell ref="AI220:AJ220"/>
    <mergeCell ref="AI221:AJ221"/>
    <mergeCell ref="H234:J234"/>
    <mergeCell ref="H236:J236"/>
    <mergeCell ref="AJ436:AK436"/>
    <mergeCell ref="AH338:AI338"/>
    <mergeCell ref="AJ338:AK338"/>
    <mergeCell ref="AJ339:AK339"/>
    <mergeCell ref="AJ340:AK340"/>
    <mergeCell ref="AJ341:AK341"/>
    <mergeCell ref="AJ342:AK342"/>
    <mergeCell ref="AF414:AG414"/>
    <mergeCell ref="AH414:AI414"/>
    <mergeCell ref="AK414:AL414"/>
    <mergeCell ref="AF321:AG321"/>
    <mergeCell ref="AH321:AI321"/>
    <mergeCell ref="AK321:AL321"/>
    <mergeCell ref="V361:Y361"/>
    <mergeCell ref="K399:M399"/>
    <mergeCell ref="A342:F342"/>
    <mergeCell ref="A343:F343"/>
    <mergeCell ref="A345:F345"/>
    <mergeCell ref="A346:F346"/>
  </mergeCells>
  <phoneticPr fontId="10" type="noConversion"/>
  <dataValidations count="11">
    <dataValidation type="list" allowBlank="1" showInputMessage="1" showErrorMessage="1" sqref="U6:U7 U99:U100" xr:uid="{7F0E13A7-2613-4FF6-87B8-442ABD7A891C}">
      <formula1>$AE$10:$AE$13</formula1>
    </dataValidation>
    <dataValidation type="list" allowBlank="1" showInputMessage="1" showErrorMessage="1" sqref="Y5" xr:uid="{C717AD7D-CDF8-498E-935F-22B84AEB902F}">
      <formula1>$AE$3:$AE$6</formula1>
    </dataValidation>
    <dataValidation type="list" allowBlank="1" showInputMessage="1" showErrorMessage="1" sqref="H7 U97 W97 H236" xr:uid="{F8639B21-9984-49A9-B2EF-099D0B3A9BDE}">
      <formula1>$AF$22:$AF$33</formula1>
    </dataValidation>
    <dataValidation type="list" allowBlank="1" showInputMessage="1" showErrorMessage="1" sqref="U5 U98 U106" xr:uid="{5579BA00-CE25-4820-9BD0-5FB1D2E99C1C}">
      <formula1>$AE$3:$AE$7</formula1>
    </dataValidation>
    <dataValidation type="list" allowBlank="1" showInputMessage="1" showErrorMessage="1" sqref="U105" xr:uid="{9BB6865D-31F7-41FB-AEDD-528A655BDA46}">
      <formula1>$AB$107:$AB$109</formula1>
    </dataValidation>
    <dataValidation type="list" allowBlank="1" showInputMessage="1" showErrorMessage="1" sqref="H239:H240 H357:H358" xr:uid="{3A99F1EA-410A-4EE3-9A12-24E1DE0077A9}">
      <formula1>$AE$240:$AE$248</formula1>
    </dataValidation>
    <dataValidation type="list" allowBlank="1" showInputMessage="1" showErrorMessage="1" sqref="H238:L238 H356:L356" xr:uid="{9D3A0E44-B02E-4E68-945B-E2F340B9C954}">
      <formula1>$AE$232:$AE$236</formula1>
    </dataValidation>
    <dataValidation type="list" allowBlank="1" showInputMessage="1" showErrorMessage="1" sqref="L223" xr:uid="{E8E9EB4C-8C78-4949-987E-48BAB1C65C85}">
      <formula1>$AF$220:$AF$221</formula1>
    </dataValidation>
    <dataValidation type="list" allowBlank="1" showInputMessage="1" showErrorMessage="1" sqref="L307:O307 L397:O397" xr:uid="{CC4EDB78-509B-421D-9CCB-3598FE2D526C}">
      <formula1>$AF$304:$AF$305</formula1>
    </dataValidation>
    <dataValidation type="list" allowBlank="1" showInputMessage="1" showErrorMessage="1" sqref="G327:G328 G421:G422" xr:uid="{F4F58729-198C-4297-A565-AC948020A5D7}">
      <formula1>$AF$328:$AF$337</formula1>
    </dataValidation>
    <dataValidation type="list" allowBlank="1" showInputMessage="1" showErrorMessage="1" sqref="E340 E434" xr:uid="{CFBE3345-3F79-4593-9472-C159665B33C7}">
      <formula1>$AG$340:$AG$342</formula1>
    </dataValidation>
  </dataValidations>
  <pageMargins left="0.7" right="0.7" top="0.75" bottom="0.75" header="0.3" footer="0.3"/>
  <pageSetup paperSize="9" scale="94" orientation="portrait" r:id="rId1"/>
  <rowBreaks count="4" manualBreakCount="4">
    <brk id="45" max="16383" man="1"/>
    <brk id="90" max="16383" man="1"/>
    <brk id="135" max="115" man="1"/>
    <brk id="182" max="16383" man="1"/>
  </rowBreaks>
  <colBreaks count="1" manualBreakCount="1">
    <brk id="26" max="1048575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AB99D19-DE16-4701-981E-FB2FBA9F1E9C}">
          <x14:formula1>
            <xm:f>'Teleskobik Dikmeler'!$A$4:$A$45</xm:f>
          </x14:formula1>
          <xm:sqref>U8 U101 D265 O265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7D20B-523A-4C06-92D9-F454AAB3A422}">
  <dimension ref="A1:AT96"/>
  <sheetViews>
    <sheetView zoomScale="75" zoomScaleNormal="75" workbookViewId="0">
      <selection activeCell="AD34" sqref="AD34"/>
    </sheetView>
  </sheetViews>
  <sheetFormatPr defaultRowHeight="15" x14ac:dyDescent="0.25"/>
  <sheetData>
    <row r="1" spans="1:46" ht="15.75" thickBot="1" x14ac:dyDescent="0.3">
      <c r="A1" s="384" t="s">
        <v>161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</row>
    <row r="2" spans="1:46" x14ac:dyDescent="0.25">
      <c r="A2" s="385" t="s">
        <v>142</v>
      </c>
      <c r="B2" s="385"/>
      <c r="C2" s="304" t="s">
        <v>143</v>
      </c>
      <c r="D2" s="304"/>
      <c r="E2" s="304"/>
      <c r="F2" s="304" t="s">
        <v>143</v>
      </c>
      <c r="G2" s="304"/>
      <c r="H2" s="304"/>
      <c r="I2" s="304" t="s">
        <v>143</v>
      </c>
      <c r="J2" s="304"/>
      <c r="K2" s="304"/>
      <c r="L2" s="304" t="s">
        <v>143</v>
      </c>
      <c r="M2" s="304"/>
      <c r="N2" s="304"/>
      <c r="AI2" s="2"/>
      <c r="AJ2" s="3"/>
      <c r="AK2" s="3"/>
      <c r="AL2" s="3"/>
      <c r="AM2" s="3"/>
      <c r="AN2" s="3"/>
      <c r="AO2" s="3"/>
      <c r="AP2" s="3"/>
      <c r="AQ2" s="3"/>
      <c r="AR2" s="3"/>
      <c r="AS2" s="3"/>
      <c r="AT2" s="32"/>
    </row>
    <row r="3" spans="1:46" x14ac:dyDescent="0.25">
      <c r="A3" s="385"/>
      <c r="B3" s="385"/>
      <c r="C3" s="304" t="s">
        <v>144</v>
      </c>
      <c r="D3" s="304"/>
      <c r="E3" s="304"/>
      <c r="F3" s="304" t="s">
        <v>144</v>
      </c>
      <c r="G3" s="304"/>
      <c r="H3" s="304"/>
      <c r="I3" s="304" t="s">
        <v>144</v>
      </c>
      <c r="J3" s="304"/>
      <c r="K3" s="304"/>
      <c r="L3" s="304" t="s">
        <v>144</v>
      </c>
      <c r="M3" s="304"/>
      <c r="N3" s="304"/>
      <c r="AI3" s="4"/>
      <c r="AJ3" s="5"/>
      <c r="AK3" s="5"/>
      <c r="AL3" s="5"/>
      <c r="AM3" s="5"/>
      <c r="AN3" s="5"/>
      <c r="AO3" s="5"/>
      <c r="AP3" s="5"/>
      <c r="AQ3" s="5"/>
      <c r="AR3" s="5"/>
      <c r="AS3" s="5"/>
      <c r="AT3" s="6"/>
    </row>
    <row r="4" spans="1:46" x14ac:dyDescent="0.25">
      <c r="A4" s="383">
        <v>450</v>
      </c>
      <c r="B4" s="383"/>
      <c r="C4" s="14"/>
      <c r="D4" s="5"/>
      <c r="E4" s="15"/>
      <c r="F4" s="14"/>
      <c r="G4" s="5"/>
      <c r="H4" s="15"/>
      <c r="I4" s="14"/>
      <c r="J4" s="5"/>
      <c r="K4" s="15"/>
      <c r="L4" s="14"/>
      <c r="M4" s="5"/>
      <c r="N4" s="15"/>
      <c r="Q4" s="5"/>
      <c r="AI4" s="4"/>
      <c r="AJ4" s="5"/>
      <c r="AK4" s="5"/>
      <c r="AL4" s="5"/>
      <c r="AM4" s="5"/>
      <c r="AN4" s="5"/>
      <c r="AO4" s="5"/>
      <c r="AP4" s="5"/>
      <c r="AQ4" s="5"/>
      <c r="AR4" s="5"/>
      <c r="AS4" s="5"/>
      <c r="AT4" s="6"/>
    </row>
    <row r="5" spans="1:46" x14ac:dyDescent="0.25">
      <c r="A5" s="383">
        <v>440</v>
      </c>
      <c r="B5" s="383"/>
      <c r="C5" s="24"/>
      <c r="D5" s="25"/>
      <c r="E5" s="26"/>
      <c r="F5" s="24"/>
      <c r="G5" s="25"/>
      <c r="H5" s="26"/>
      <c r="I5" s="24"/>
      <c r="J5" s="25"/>
      <c r="K5" s="26"/>
      <c r="L5" s="27">
        <v>875</v>
      </c>
      <c r="M5" s="25"/>
      <c r="N5" s="26"/>
      <c r="O5" s="36">
        <f>L5/100</f>
        <v>8.75</v>
      </c>
      <c r="P5" s="34">
        <v>440</v>
      </c>
      <c r="Q5" s="35"/>
      <c r="AI5" s="4"/>
      <c r="AJ5" s="5"/>
      <c r="AK5" s="5"/>
      <c r="AL5" s="5"/>
      <c r="AM5" s="5"/>
      <c r="AN5" s="5"/>
      <c r="AO5" s="5"/>
      <c r="AP5" s="5"/>
      <c r="AQ5" s="5"/>
      <c r="AR5" s="5"/>
      <c r="AS5" s="5"/>
      <c r="AT5" s="6"/>
    </row>
    <row r="6" spans="1:46" x14ac:dyDescent="0.25">
      <c r="A6" s="383">
        <v>430</v>
      </c>
      <c r="B6" s="383"/>
      <c r="C6" s="14"/>
      <c r="D6" s="5"/>
      <c r="E6" s="15"/>
      <c r="F6" s="14"/>
      <c r="G6" s="5"/>
      <c r="H6" s="15"/>
      <c r="I6" s="14"/>
      <c r="J6" s="5"/>
      <c r="K6" s="15"/>
      <c r="L6" s="16">
        <v>925</v>
      </c>
      <c r="M6" s="5"/>
      <c r="N6" s="15"/>
      <c r="O6" s="36">
        <f t="shared" ref="O6:O23" si="0">L6/100</f>
        <v>9.25</v>
      </c>
      <c r="P6" s="34">
        <v>430</v>
      </c>
      <c r="Q6" s="35"/>
      <c r="AI6" s="4"/>
      <c r="AJ6" s="5"/>
      <c r="AK6" s="5"/>
      <c r="AL6" s="5"/>
      <c r="AM6" s="5"/>
      <c r="AN6" s="5"/>
      <c r="AO6" s="5"/>
      <c r="AP6" s="5"/>
      <c r="AQ6" s="5"/>
      <c r="AR6" s="5"/>
      <c r="AS6" s="5"/>
      <c r="AT6" s="6"/>
    </row>
    <row r="7" spans="1:46" x14ac:dyDescent="0.25">
      <c r="A7" s="383">
        <v>420</v>
      </c>
      <c r="B7" s="383"/>
      <c r="C7" s="24"/>
      <c r="D7" s="25"/>
      <c r="E7" s="26"/>
      <c r="F7" s="24"/>
      <c r="G7" s="25"/>
      <c r="H7" s="26"/>
      <c r="I7" s="24"/>
      <c r="J7" s="25"/>
      <c r="K7" s="26"/>
      <c r="L7" s="27">
        <v>950</v>
      </c>
      <c r="M7" s="25"/>
      <c r="N7" s="26"/>
      <c r="O7" s="36">
        <f t="shared" si="0"/>
        <v>9.5</v>
      </c>
      <c r="P7" s="34">
        <v>420</v>
      </c>
      <c r="Q7" s="35"/>
      <c r="AI7" s="4"/>
      <c r="AJ7" s="5"/>
      <c r="AK7" s="5"/>
      <c r="AL7" s="5"/>
      <c r="AM7" s="5"/>
      <c r="AN7" s="5"/>
      <c r="AO7" s="5"/>
      <c r="AP7" s="5"/>
      <c r="AQ7" s="5"/>
      <c r="AR7" s="5"/>
      <c r="AS7" s="5"/>
      <c r="AT7" s="6"/>
    </row>
    <row r="8" spans="1:46" x14ac:dyDescent="0.25">
      <c r="A8" s="383">
        <v>410</v>
      </c>
      <c r="B8" s="383"/>
      <c r="C8" s="14"/>
      <c r="D8" s="5"/>
      <c r="E8" s="15"/>
      <c r="F8" s="14"/>
      <c r="G8" s="5"/>
      <c r="H8" s="15"/>
      <c r="I8" s="14"/>
      <c r="J8" s="5"/>
      <c r="K8" s="15"/>
      <c r="L8" s="16">
        <v>1000</v>
      </c>
      <c r="M8" s="5"/>
      <c r="N8" s="15"/>
      <c r="O8" s="36">
        <f t="shared" si="0"/>
        <v>10</v>
      </c>
      <c r="P8" s="34">
        <v>410</v>
      </c>
      <c r="Q8" s="35"/>
      <c r="AI8" s="4"/>
      <c r="AJ8" s="5"/>
      <c r="AK8" s="5"/>
      <c r="AL8" s="5"/>
      <c r="AM8" s="5"/>
      <c r="AN8" s="5"/>
      <c r="AO8" s="5"/>
      <c r="AP8" s="5"/>
      <c r="AQ8" s="5"/>
      <c r="AR8" s="5"/>
      <c r="AS8" s="5"/>
      <c r="AT8" s="6"/>
    </row>
    <row r="9" spans="1:46" x14ac:dyDescent="0.25">
      <c r="A9" s="383">
        <v>400</v>
      </c>
      <c r="B9" s="383"/>
      <c r="C9" s="24"/>
      <c r="D9" s="25"/>
      <c r="E9" s="26"/>
      <c r="F9" s="24"/>
      <c r="G9" s="25"/>
      <c r="H9" s="26"/>
      <c r="I9" s="24"/>
      <c r="J9" s="25"/>
      <c r="K9" s="26"/>
      <c r="L9" s="27">
        <v>1050</v>
      </c>
      <c r="M9" s="25"/>
      <c r="N9" s="26"/>
      <c r="O9" s="36">
        <f t="shared" si="0"/>
        <v>10.5</v>
      </c>
      <c r="P9" s="34">
        <v>400</v>
      </c>
      <c r="Q9" s="35"/>
      <c r="AI9" s="4"/>
      <c r="AJ9" s="5"/>
      <c r="AK9" s="5"/>
      <c r="AL9" s="5"/>
      <c r="AM9" s="5"/>
      <c r="AN9" s="5"/>
      <c r="AO9" s="5"/>
      <c r="AP9" s="5"/>
      <c r="AQ9" s="5"/>
      <c r="AR9" s="5"/>
      <c r="AS9" s="5"/>
      <c r="AT9" s="6"/>
    </row>
    <row r="10" spans="1:46" x14ac:dyDescent="0.25">
      <c r="A10" s="383">
        <v>390</v>
      </c>
      <c r="B10" s="383"/>
      <c r="C10" s="14"/>
      <c r="D10" s="5"/>
      <c r="E10" s="15"/>
      <c r="F10" s="14"/>
      <c r="G10" s="5"/>
      <c r="H10" s="15"/>
      <c r="I10" s="16">
        <v>1100</v>
      </c>
      <c r="J10" s="5"/>
      <c r="K10" s="15"/>
      <c r="L10" s="16">
        <v>1100</v>
      </c>
      <c r="M10" s="5"/>
      <c r="N10" s="15"/>
      <c r="O10" s="36">
        <f t="shared" si="0"/>
        <v>11</v>
      </c>
      <c r="P10" s="34">
        <v>390</v>
      </c>
      <c r="Q10" s="35"/>
      <c r="AI10" s="4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6"/>
    </row>
    <row r="11" spans="1:46" x14ac:dyDescent="0.25">
      <c r="A11" s="383">
        <v>380</v>
      </c>
      <c r="B11" s="383"/>
      <c r="C11" s="24"/>
      <c r="D11" s="25"/>
      <c r="E11" s="26"/>
      <c r="F11" s="24"/>
      <c r="G11" s="25"/>
      <c r="H11" s="26"/>
      <c r="I11" s="27">
        <v>1175</v>
      </c>
      <c r="J11" s="25"/>
      <c r="K11" s="26"/>
      <c r="L11" s="27">
        <v>1175</v>
      </c>
      <c r="M11" s="25"/>
      <c r="N11" s="26"/>
      <c r="O11" s="36">
        <f t="shared" si="0"/>
        <v>11.75</v>
      </c>
      <c r="P11" s="34">
        <v>380</v>
      </c>
      <c r="Q11" s="35"/>
      <c r="AI11" s="4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6"/>
    </row>
    <row r="12" spans="1:46" x14ac:dyDescent="0.25">
      <c r="A12" s="383">
        <v>370</v>
      </c>
      <c r="B12" s="383"/>
      <c r="C12" s="14"/>
      <c r="D12" s="5"/>
      <c r="E12" s="15"/>
      <c r="F12" s="14"/>
      <c r="G12" s="5"/>
      <c r="H12" s="15"/>
      <c r="I12" s="16">
        <v>1225</v>
      </c>
      <c r="J12" s="5"/>
      <c r="K12" s="15"/>
      <c r="L12" s="16">
        <v>1225</v>
      </c>
      <c r="M12" s="5"/>
      <c r="N12" s="15"/>
      <c r="O12" s="36">
        <f t="shared" si="0"/>
        <v>12.25</v>
      </c>
      <c r="P12" s="34">
        <v>370</v>
      </c>
      <c r="Q12" s="35"/>
      <c r="AI12" s="4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6"/>
    </row>
    <row r="13" spans="1:46" x14ac:dyDescent="0.25">
      <c r="A13" s="383">
        <v>360</v>
      </c>
      <c r="B13" s="383"/>
      <c r="C13" s="24"/>
      <c r="D13" s="25"/>
      <c r="E13" s="26"/>
      <c r="F13" s="24"/>
      <c r="G13" s="25"/>
      <c r="H13" s="26"/>
      <c r="I13" s="27">
        <v>1300</v>
      </c>
      <c r="J13" s="25"/>
      <c r="K13" s="26"/>
      <c r="L13" s="27">
        <v>1300</v>
      </c>
      <c r="M13" s="25"/>
      <c r="N13" s="26"/>
      <c r="O13" s="36">
        <f t="shared" si="0"/>
        <v>13</v>
      </c>
      <c r="P13" s="34">
        <v>360</v>
      </c>
      <c r="Q13" s="35"/>
      <c r="AI13" s="4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6"/>
    </row>
    <row r="14" spans="1:46" x14ac:dyDescent="0.25">
      <c r="A14" s="383">
        <v>350</v>
      </c>
      <c r="B14" s="383"/>
      <c r="C14" s="14"/>
      <c r="D14" s="5"/>
      <c r="E14" s="15"/>
      <c r="F14" s="14"/>
      <c r="G14" s="5"/>
      <c r="H14" s="15"/>
      <c r="I14" s="16">
        <v>1350</v>
      </c>
      <c r="J14" s="5"/>
      <c r="K14" s="15"/>
      <c r="L14" s="16">
        <v>1350</v>
      </c>
      <c r="M14" s="5"/>
      <c r="N14" s="15"/>
      <c r="O14" s="36">
        <f t="shared" si="0"/>
        <v>13.5</v>
      </c>
      <c r="P14" s="34">
        <v>350</v>
      </c>
      <c r="Q14" s="35"/>
      <c r="AI14" s="4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6"/>
    </row>
    <row r="15" spans="1:46" x14ac:dyDescent="0.25">
      <c r="A15" s="383">
        <v>340</v>
      </c>
      <c r="B15" s="383"/>
      <c r="C15" s="24"/>
      <c r="D15" s="25"/>
      <c r="E15" s="26"/>
      <c r="F15" s="27">
        <v>1450</v>
      </c>
      <c r="G15" s="25"/>
      <c r="H15" s="26"/>
      <c r="I15" s="27">
        <v>1450</v>
      </c>
      <c r="J15" s="25"/>
      <c r="K15" s="26"/>
      <c r="L15" s="27">
        <v>1450</v>
      </c>
      <c r="M15" s="25"/>
      <c r="N15" s="26"/>
      <c r="O15" s="36">
        <f t="shared" si="0"/>
        <v>14.5</v>
      </c>
      <c r="P15" s="34">
        <v>340</v>
      </c>
      <c r="Q15" s="35"/>
      <c r="AI15" s="4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6"/>
    </row>
    <row r="16" spans="1:46" x14ac:dyDescent="0.25">
      <c r="A16" s="383">
        <v>330</v>
      </c>
      <c r="B16" s="383"/>
      <c r="C16" s="14"/>
      <c r="D16" s="5"/>
      <c r="E16" s="15"/>
      <c r="F16" s="16">
        <v>1550</v>
      </c>
      <c r="G16" s="5"/>
      <c r="H16" s="15"/>
      <c r="I16" s="16">
        <v>1550</v>
      </c>
      <c r="J16" s="5"/>
      <c r="K16" s="15"/>
      <c r="L16" s="16">
        <v>1550</v>
      </c>
      <c r="M16" s="5"/>
      <c r="N16" s="15"/>
      <c r="O16" s="36">
        <f t="shared" si="0"/>
        <v>15.5</v>
      </c>
      <c r="P16" s="34">
        <v>330</v>
      </c>
      <c r="Q16" s="35"/>
      <c r="AI16" s="4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6"/>
    </row>
    <row r="17" spans="1:46" x14ac:dyDescent="0.25">
      <c r="A17" s="383">
        <v>320</v>
      </c>
      <c r="B17" s="383"/>
      <c r="C17" s="24"/>
      <c r="D17" s="25"/>
      <c r="E17" s="26"/>
      <c r="F17" s="27">
        <v>1650</v>
      </c>
      <c r="G17" s="25"/>
      <c r="H17" s="26"/>
      <c r="I17" s="27">
        <v>1650</v>
      </c>
      <c r="J17" s="25"/>
      <c r="K17" s="26"/>
      <c r="L17" s="27">
        <v>1650</v>
      </c>
      <c r="M17" s="25"/>
      <c r="N17" s="26"/>
      <c r="O17" s="36">
        <f t="shared" si="0"/>
        <v>16.5</v>
      </c>
      <c r="P17" s="34">
        <v>320</v>
      </c>
      <c r="Q17" s="35"/>
      <c r="AI17" s="4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6"/>
    </row>
    <row r="18" spans="1:46" x14ac:dyDescent="0.25">
      <c r="A18" s="383">
        <v>310</v>
      </c>
      <c r="B18" s="383"/>
      <c r="C18" s="14"/>
      <c r="D18" s="5"/>
      <c r="E18" s="15"/>
      <c r="F18" s="16">
        <v>1750</v>
      </c>
      <c r="G18" s="5"/>
      <c r="H18" s="15"/>
      <c r="I18" s="16">
        <v>1750</v>
      </c>
      <c r="J18" s="5"/>
      <c r="K18" s="15"/>
      <c r="L18" s="16">
        <v>1750</v>
      </c>
      <c r="M18" s="5"/>
      <c r="N18" s="15"/>
      <c r="O18" s="36">
        <f t="shared" si="0"/>
        <v>17.5</v>
      </c>
      <c r="P18" s="34">
        <v>310</v>
      </c>
      <c r="Q18" s="35"/>
      <c r="AI18" s="4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6"/>
    </row>
    <row r="19" spans="1:46" x14ac:dyDescent="0.25">
      <c r="A19" s="383">
        <v>300</v>
      </c>
      <c r="B19" s="383"/>
      <c r="C19" s="24"/>
      <c r="D19" s="25"/>
      <c r="E19" s="26"/>
      <c r="F19" s="27">
        <v>1850</v>
      </c>
      <c r="G19" s="25"/>
      <c r="H19" s="26"/>
      <c r="I19" s="27">
        <v>1850</v>
      </c>
      <c r="J19" s="25"/>
      <c r="K19" s="26"/>
      <c r="L19" s="27">
        <v>1850</v>
      </c>
      <c r="M19" s="25"/>
      <c r="N19" s="26"/>
      <c r="O19" s="36">
        <f t="shared" si="0"/>
        <v>18.5</v>
      </c>
      <c r="P19" s="34">
        <v>300</v>
      </c>
      <c r="Q19" s="35"/>
      <c r="AI19" s="4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6"/>
    </row>
    <row r="20" spans="1:46" x14ac:dyDescent="0.25">
      <c r="A20" s="383">
        <v>290</v>
      </c>
      <c r="B20" s="383"/>
      <c r="C20" s="16">
        <v>2000</v>
      </c>
      <c r="D20" s="17"/>
      <c r="E20" s="18"/>
      <c r="F20" s="16">
        <v>2000</v>
      </c>
      <c r="G20" s="5"/>
      <c r="H20" s="15"/>
      <c r="I20" s="16">
        <v>2000</v>
      </c>
      <c r="J20" s="5"/>
      <c r="K20" s="15"/>
      <c r="L20" s="16">
        <v>2000</v>
      </c>
      <c r="M20" s="5"/>
      <c r="N20" s="15"/>
      <c r="O20" s="36">
        <f t="shared" si="0"/>
        <v>20</v>
      </c>
      <c r="P20" s="34">
        <v>290</v>
      </c>
      <c r="Q20" s="35"/>
      <c r="AI20" s="4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6"/>
    </row>
    <row r="21" spans="1:46" x14ac:dyDescent="0.25">
      <c r="A21" s="383">
        <v>280</v>
      </c>
      <c r="B21" s="383"/>
      <c r="C21" s="27">
        <v>2000</v>
      </c>
      <c r="D21" s="28"/>
      <c r="E21" s="29"/>
      <c r="F21" s="27">
        <v>2000</v>
      </c>
      <c r="G21" s="25"/>
      <c r="H21" s="26"/>
      <c r="I21" s="27">
        <v>2000</v>
      </c>
      <c r="J21" s="25"/>
      <c r="K21" s="26"/>
      <c r="L21" s="27">
        <v>2000</v>
      </c>
      <c r="M21" s="25"/>
      <c r="N21" s="26"/>
      <c r="O21" s="36">
        <f t="shared" si="0"/>
        <v>20</v>
      </c>
      <c r="P21" s="34">
        <v>280</v>
      </c>
      <c r="Q21" s="35"/>
      <c r="AI21" s="4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6"/>
    </row>
    <row r="22" spans="1:46" x14ac:dyDescent="0.25">
      <c r="A22" s="383">
        <v>270</v>
      </c>
      <c r="B22" s="383"/>
      <c r="C22" s="16">
        <v>2000</v>
      </c>
      <c r="D22" s="17"/>
      <c r="E22" s="18"/>
      <c r="F22" s="16">
        <v>2000</v>
      </c>
      <c r="G22" s="5"/>
      <c r="H22" s="15"/>
      <c r="I22" s="16">
        <v>2000</v>
      </c>
      <c r="J22" s="5"/>
      <c r="K22" s="15"/>
      <c r="L22" s="16">
        <v>2000</v>
      </c>
      <c r="M22" s="5"/>
      <c r="N22" s="15"/>
      <c r="O22" s="36">
        <f t="shared" si="0"/>
        <v>20</v>
      </c>
      <c r="P22" s="34">
        <v>270</v>
      </c>
      <c r="Q22" s="35"/>
      <c r="AI22" s="4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6"/>
    </row>
    <row r="23" spans="1:46" x14ac:dyDescent="0.25">
      <c r="A23" s="383">
        <v>260</v>
      </c>
      <c r="B23" s="383"/>
      <c r="C23" s="27">
        <v>2000</v>
      </c>
      <c r="D23" s="28"/>
      <c r="E23" s="29"/>
      <c r="F23" s="27">
        <v>2000</v>
      </c>
      <c r="G23" s="25"/>
      <c r="H23" s="26"/>
      <c r="I23" s="27">
        <v>2000</v>
      </c>
      <c r="J23" s="25"/>
      <c r="K23" s="26"/>
      <c r="L23" s="27">
        <v>2000</v>
      </c>
      <c r="M23" s="25"/>
      <c r="N23" s="26"/>
      <c r="O23" s="36">
        <f t="shared" si="0"/>
        <v>20</v>
      </c>
      <c r="P23" s="34">
        <v>260</v>
      </c>
      <c r="Q23" s="35"/>
      <c r="AI23" s="4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6"/>
    </row>
    <row r="24" spans="1:46" x14ac:dyDescent="0.25">
      <c r="A24" s="383">
        <v>250</v>
      </c>
      <c r="B24" s="383"/>
      <c r="C24" s="16">
        <v>2000</v>
      </c>
      <c r="D24" s="17"/>
      <c r="E24" s="18"/>
      <c r="F24" s="16">
        <v>2000</v>
      </c>
      <c r="G24" s="5"/>
      <c r="H24" s="15"/>
      <c r="I24" s="16">
        <v>2000</v>
      </c>
      <c r="J24" s="5"/>
      <c r="K24" s="15"/>
      <c r="L24" s="14"/>
      <c r="M24" s="5"/>
      <c r="N24" s="15"/>
      <c r="O24" s="36">
        <v>20</v>
      </c>
      <c r="P24" s="34">
        <v>250</v>
      </c>
      <c r="Q24" s="35"/>
      <c r="AI24" s="4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6"/>
    </row>
    <row r="25" spans="1:46" x14ac:dyDescent="0.25">
      <c r="A25" s="383">
        <v>240</v>
      </c>
      <c r="B25" s="383"/>
      <c r="C25" s="27">
        <v>2000</v>
      </c>
      <c r="D25" s="28"/>
      <c r="E25" s="29"/>
      <c r="F25" s="27">
        <v>2000</v>
      </c>
      <c r="G25" s="25"/>
      <c r="H25" s="26"/>
      <c r="I25" s="27">
        <v>2000</v>
      </c>
      <c r="J25" s="25"/>
      <c r="K25" s="15"/>
      <c r="L25" s="14"/>
      <c r="M25" s="5"/>
      <c r="N25" s="15"/>
      <c r="O25" s="36">
        <v>20</v>
      </c>
      <c r="P25" s="34">
        <v>240</v>
      </c>
      <c r="Q25" s="35"/>
      <c r="AI25" s="4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6"/>
    </row>
    <row r="26" spans="1:46" x14ac:dyDescent="0.25">
      <c r="A26" s="383">
        <v>230</v>
      </c>
      <c r="B26" s="383"/>
      <c r="C26" s="16">
        <v>2000</v>
      </c>
      <c r="D26" s="17"/>
      <c r="E26" s="18"/>
      <c r="F26" s="16">
        <v>2000</v>
      </c>
      <c r="G26" s="5"/>
      <c r="H26" s="15"/>
      <c r="I26" s="16">
        <v>2000</v>
      </c>
      <c r="J26" s="5"/>
      <c r="K26" s="15"/>
      <c r="L26" s="14"/>
      <c r="M26" s="5"/>
      <c r="N26" s="15"/>
      <c r="O26" s="36">
        <v>20</v>
      </c>
      <c r="P26" s="34">
        <v>230</v>
      </c>
      <c r="Q26" s="35"/>
      <c r="AI26" s="4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6"/>
    </row>
    <row r="27" spans="1:46" x14ac:dyDescent="0.25">
      <c r="A27" s="383">
        <v>220</v>
      </c>
      <c r="B27" s="383"/>
      <c r="C27" s="27">
        <v>2000</v>
      </c>
      <c r="D27" s="28"/>
      <c r="E27" s="29"/>
      <c r="F27" s="27">
        <v>2000</v>
      </c>
      <c r="G27" s="25"/>
      <c r="H27" s="26"/>
      <c r="I27" s="27">
        <v>2000</v>
      </c>
      <c r="J27" s="25"/>
      <c r="K27" s="15"/>
      <c r="L27" s="14"/>
      <c r="M27" s="5"/>
      <c r="N27" s="15"/>
      <c r="O27" s="36">
        <v>20</v>
      </c>
      <c r="P27" s="34">
        <v>220</v>
      </c>
      <c r="Q27" s="35"/>
      <c r="AI27" s="4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6"/>
    </row>
    <row r="28" spans="1:46" x14ac:dyDescent="0.25">
      <c r="A28" s="383">
        <v>210</v>
      </c>
      <c r="B28" s="383"/>
      <c r="C28" s="16">
        <v>2000</v>
      </c>
      <c r="D28" s="17"/>
      <c r="E28" s="18"/>
      <c r="F28" s="16">
        <v>2000</v>
      </c>
      <c r="G28" s="5"/>
      <c r="H28" s="15"/>
      <c r="I28" s="14"/>
      <c r="J28" s="5"/>
      <c r="K28" s="15"/>
      <c r="L28" s="14"/>
      <c r="M28" s="5"/>
      <c r="N28" s="15"/>
      <c r="O28" s="36">
        <v>20</v>
      </c>
      <c r="P28" s="34">
        <v>210</v>
      </c>
      <c r="Q28" s="35"/>
      <c r="AI28" s="4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6"/>
    </row>
    <row r="29" spans="1:46" x14ac:dyDescent="0.25">
      <c r="A29" s="383">
        <v>200</v>
      </c>
      <c r="B29" s="383"/>
      <c r="C29" s="27">
        <v>2000</v>
      </c>
      <c r="D29" s="28"/>
      <c r="E29" s="29"/>
      <c r="F29" s="27">
        <v>2000</v>
      </c>
      <c r="G29" s="25"/>
      <c r="H29" s="15"/>
      <c r="I29" s="14"/>
      <c r="J29" s="5"/>
      <c r="K29" s="15"/>
      <c r="L29" s="14"/>
      <c r="M29" s="5"/>
      <c r="N29" s="15"/>
      <c r="O29" s="36">
        <v>20</v>
      </c>
      <c r="P29" s="34">
        <v>200</v>
      </c>
      <c r="Q29" s="35"/>
      <c r="AI29" s="4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6"/>
    </row>
    <row r="30" spans="1:46" x14ac:dyDescent="0.25">
      <c r="A30" s="383">
        <v>190</v>
      </c>
      <c r="B30" s="383"/>
      <c r="C30" s="27">
        <v>2000</v>
      </c>
      <c r="D30" s="28"/>
      <c r="E30" s="18"/>
      <c r="F30" s="14"/>
      <c r="G30" s="5"/>
      <c r="H30" s="15"/>
      <c r="I30" s="14"/>
      <c r="J30" s="5"/>
      <c r="K30" s="15"/>
      <c r="L30" s="14"/>
      <c r="M30" s="5"/>
      <c r="N30" s="15"/>
      <c r="O30" s="36">
        <v>20</v>
      </c>
      <c r="P30" s="34">
        <v>190</v>
      </c>
      <c r="Q30" s="35"/>
      <c r="AI30" s="4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6"/>
    </row>
    <row r="31" spans="1:46" x14ac:dyDescent="0.25">
      <c r="A31" s="383">
        <v>180</v>
      </c>
      <c r="B31" s="383"/>
      <c r="C31" s="16">
        <v>2000</v>
      </c>
      <c r="D31" s="17"/>
      <c r="E31" s="18"/>
      <c r="F31" s="14"/>
      <c r="G31" s="5"/>
      <c r="H31" s="15"/>
      <c r="I31" s="14"/>
      <c r="J31" s="5"/>
      <c r="K31" s="15"/>
      <c r="L31" s="14"/>
      <c r="M31" s="5"/>
      <c r="N31" s="15"/>
      <c r="O31" s="36">
        <v>20</v>
      </c>
      <c r="P31" s="34">
        <v>180</v>
      </c>
      <c r="Q31" s="35"/>
      <c r="AI31" s="4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6"/>
    </row>
    <row r="32" spans="1:46" x14ac:dyDescent="0.25">
      <c r="A32" s="383">
        <v>170</v>
      </c>
      <c r="B32" s="383"/>
      <c r="C32" s="27">
        <v>2000</v>
      </c>
      <c r="D32" s="28"/>
      <c r="E32" s="18"/>
      <c r="F32" s="14"/>
      <c r="G32" s="5"/>
      <c r="H32" s="15"/>
      <c r="I32" s="14"/>
      <c r="J32" s="5"/>
      <c r="K32" s="15"/>
      <c r="L32" s="14"/>
      <c r="M32" s="5"/>
      <c r="N32" s="15"/>
      <c r="O32" s="36">
        <v>20</v>
      </c>
      <c r="P32" s="34">
        <v>170</v>
      </c>
      <c r="Q32" s="35"/>
      <c r="AI32" s="4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6"/>
    </row>
    <row r="33" spans="1:46" x14ac:dyDescent="0.25">
      <c r="A33" s="383">
        <v>160</v>
      </c>
      <c r="B33" s="383"/>
      <c r="C33" s="14"/>
      <c r="D33" s="5"/>
      <c r="E33" s="15"/>
      <c r="F33" s="14"/>
      <c r="G33" s="5"/>
      <c r="H33" s="15"/>
      <c r="I33" s="14"/>
      <c r="J33" s="5"/>
      <c r="K33" s="15"/>
      <c r="L33" s="14"/>
      <c r="M33" s="5"/>
      <c r="N33" s="15"/>
      <c r="O33" s="36">
        <v>20</v>
      </c>
      <c r="P33" s="34">
        <v>160</v>
      </c>
      <c r="Q33" s="35"/>
      <c r="AI33" s="4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6"/>
    </row>
    <row r="34" spans="1:46" x14ac:dyDescent="0.25">
      <c r="A34" s="383">
        <v>150</v>
      </c>
      <c r="B34" s="383"/>
      <c r="C34" s="14"/>
      <c r="D34" s="5"/>
      <c r="E34" s="15"/>
      <c r="F34" s="14"/>
      <c r="G34" s="5"/>
      <c r="H34" s="15"/>
      <c r="I34" s="14"/>
      <c r="J34" s="5"/>
      <c r="K34" s="15"/>
      <c r="L34" s="14"/>
      <c r="M34" s="5"/>
      <c r="N34" s="15"/>
      <c r="O34" s="36">
        <v>20</v>
      </c>
      <c r="P34" s="34">
        <v>150</v>
      </c>
      <c r="Q34" s="35"/>
      <c r="AI34" s="4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6"/>
    </row>
    <row r="35" spans="1:46" x14ac:dyDescent="0.25">
      <c r="A35" s="383">
        <v>140</v>
      </c>
      <c r="B35" s="383"/>
      <c r="C35" s="14"/>
      <c r="D35" s="5"/>
      <c r="E35" s="15"/>
      <c r="F35" s="14"/>
      <c r="G35" s="5"/>
      <c r="H35" s="15"/>
      <c r="I35" s="14"/>
      <c r="J35" s="5"/>
      <c r="K35" s="15"/>
      <c r="L35" s="14"/>
      <c r="M35" s="5"/>
      <c r="N35" s="15"/>
      <c r="O35" s="36">
        <v>20</v>
      </c>
      <c r="P35" s="34">
        <v>140</v>
      </c>
      <c r="Q35" s="35"/>
      <c r="AI35" s="4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6"/>
    </row>
    <row r="36" spans="1:46" x14ac:dyDescent="0.25">
      <c r="A36" s="383">
        <v>130</v>
      </c>
      <c r="B36" s="383"/>
      <c r="C36" s="14"/>
      <c r="D36" s="5"/>
      <c r="E36" s="15"/>
      <c r="F36" s="14"/>
      <c r="G36" s="5"/>
      <c r="H36" s="15"/>
      <c r="I36" s="14"/>
      <c r="J36" s="5"/>
      <c r="K36" s="15"/>
      <c r="L36" s="14"/>
      <c r="M36" s="5"/>
      <c r="N36" s="15"/>
      <c r="O36" s="36">
        <v>20</v>
      </c>
      <c r="P36" s="34">
        <v>130</v>
      </c>
      <c r="Q36" s="35"/>
      <c r="AI36" s="4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6"/>
    </row>
    <row r="37" spans="1:46" x14ac:dyDescent="0.25">
      <c r="A37" s="383">
        <v>120</v>
      </c>
      <c r="B37" s="383"/>
      <c r="C37" s="14"/>
      <c r="D37" s="5"/>
      <c r="E37" s="15"/>
      <c r="F37" s="14"/>
      <c r="G37" s="5"/>
      <c r="H37" s="15"/>
      <c r="I37" s="14"/>
      <c r="J37" s="5"/>
      <c r="K37" s="15"/>
      <c r="L37" s="14"/>
      <c r="M37" s="5"/>
      <c r="N37" s="15"/>
      <c r="O37" s="36">
        <v>20</v>
      </c>
      <c r="P37" s="34">
        <v>120</v>
      </c>
      <c r="Q37" s="35"/>
      <c r="AI37" s="4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6"/>
    </row>
    <row r="38" spans="1:46" x14ac:dyDescent="0.25">
      <c r="A38" s="383">
        <v>110</v>
      </c>
      <c r="B38" s="383"/>
      <c r="C38" s="14"/>
      <c r="D38" s="5"/>
      <c r="E38" s="15"/>
      <c r="F38" s="14"/>
      <c r="G38" s="5"/>
      <c r="H38" s="15"/>
      <c r="I38" s="14"/>
      <c r="J38" s="5"/>
      <c r="K38" s="15"/>
      <c r="L38" s="14"/>
      <c r="M38" s="5"/>
      <c r="N38" s="15"/>
      <c r="O38" s="36">
        <v>20</v>
      </c>
      <c r="P38" s="34">
        <v>110</v>
      </c>
      <c r="Q38" s="35"/>
      <c r="AI38" s="4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6"/>
    </row>
    <row r="39" spans="1:46" x14ac:dyDescent="0.25">
      <c r="A39" s="383">
        <v>100</v>
      </c>
      <c r="B39" s="383"/>
      <c r="C39" s="14"/>
      <c r="D39" s="5"/>
      <c r="E39" s="15"/>
      <c r="F39" s="14"/>
      <c r="G39" s="5"/>
      <c r="H39" s="15"/>
      <c r="I39" s="14"/>
      <c r="J39" s="5"/>
      <c r="K39" s="15"/>
      <c r="L39" s="14"/>
      <c r="M39" s="5"/>
      <c r="N39" s="15"/>
      <c r="O39" s="36">
        <v>20</v>
      </c>
      <c r="P39" s="34">
        <v>100</v>
      </c>
      <c r="Q39" s="35"/>
      <c r="AI39" s="4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6"/>
    </row>
    <row r="40" spans="1:46" x14ac:dyDescent="0.25">
      <c r="A40" s="383">
        <v>90</v>
      </c>
      <c r="B40" s="383"/>
      <c r="C40" s="14"/>
      <c r="D40" s="5"/>
      <c r="E40" s="15"/>
      <c r="F40" s="14"/>
      <c r="G40" s="5"/>
      <c r="H40" s="15"/>
      <c r="I40" s="14"/>
      <c r="J40" s="5"/>
      <c r="K40" s="15"/>
      <c r="L40" s="14"/>
      <c r="M40" s="5"/>
      <c r="N40" s="15"/>
      <c r="O40" s="36">
        <v>20</v>
      </c>
      <c r="P40" s="34">
        <v>90</v>
      </c>
      <c r="Q40" s="35"/>
      <c r="AI40" s="4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6"/>
    </row>
    <row r="41" spans="1:46" x14ac:dyDescent="0.25">
      <c r="A41" s="383">
        <v>80</v>
      </c>
      <c r="B41" s="383"/>
      <c r="C41" s="14"/>
      <c r="D41" s="5"/>
      <c r="E41" s="15"/>
      <c r="F41" s="14"/>
      <c r="G41" s="5"/>
      <c r="H41" s="15"/>
      <c r="I41" s="14"/>
      <c r="J41" s="5"/>
      <c r="K41" s="15"/>
      <c r="L41" s="14"/>
      <c r="M41" s="5"/>
      <c r="N41" s="15"/>
      <c r="O41" s="36">
        <v>20</v>
      </c>
      <c r="P41" s="34">
        <v>80</v>
      </c>
      <c r="Q41" s="35"/>
      <c r="AI41" s="4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6"/>
    </row>
    <row r="42" spans="1:46" x14ac:dyDescent="0.25">
      <c r="A42" s="383">
        <v>70</v>
      </c>
      <c r="B42" s="383"/>
      <c r="C42" s="22" t="s">
        <v>145</v>
      </c>
      <c r="D42" s="13"/>
      <c r="E42" s="23"/>
      <c r="F42" s="22" t="s">
        <v>146</v>
      </c>
      <c r="G42" s="13"/>
      <c r="H42" s="23"/>
      <c r="I42" s="22" t="s">
        <v>147</v>
      </c>
      <c r="J42" s="13"/>
      <c r="K42" s="23"/>
      <c r="L42" s="22" t="s">
        <v>148</v>
      </c>
      <c r="M42" s="13"/>
      <c r="N42" s="23"/>
      <c r="O42" s="36">
        <v>20</v>
      </c>
      <c r="P42" s="34">
        <v>70</v>
      </c>
      <c r="Q42" s="35"/>
      <c r="AI42" s="4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6"/>
    </row>
    <row r="43" spans="1:46" x14ac:dyDescent="0.25">
      <c r="A43" s="383">
        <v>60</v>
      </c>
      <c r="B43" s="383"/>
      <c r="C43" s="14"/>
      <c r="D43" s="5"/>
      <c r="E43" s="15"/>
      <c r="F43" s="14"/>
      <c r="G43" s="5"/>
      <c r="H43" s="15"/>
      <c r="I43" s="14"/>
      <c r="J43" s="5"/>
      <c r="K43" s="15"/>
      <c r="L43" s="14"/>
      <c r="M43" s="5"/>
      <c r="N43" s="15"/>
      <c r="O43" s="36">
        <v>20</v>
      </c>
      <c r="P43" s="34">
        <v>60</v>
      </c>
      <c r="Q43" s="35"/>
      <c r="AI43" s="4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6"/>
    </row>
    <row r="44" spans="1:46" x14ac:dyDescent="0.25">
      <c r="A44" s="383">
        <v>50</v>
      </c>
      <c r="B44" s="383"/>
      <c r="C44" s="14"/>
      <c r="D44" s="5"/>
      <c r="E44" s="15"/>
      <c r="F44" s="14"/>
      <c r="G44" s="5"/>
      <c r="H44" s="15"/>
      <c r="I44" s="14"/>
      <c r="J44" s="5"/>
      <c r="K44" s="15"/>
      <c r="L44" s="14"/>
      <c r="M44" s="5"/>
      <c r="N44" s="15"/>
      <c r="O44" s="36">
        <v>20</v>
      </c>
      <c r="P44" s="34">
        <v>50</v>
      </c>
      <c r="Q44" s="35"/>
      <c r="AI44" s="4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6"/>
    </row>
    <row r="45" spans="1:46" x14ac:dyDescent="0.25">
      <c r="A45" s="383">
        <v>40</v>
      </c>
      <c r="B45" s="383"/>
      <c r="C45" s="14" t="s">
        <v>149</v>
      </c>
      <c r="D45" s="5"/>
      <c r="E45" s="15"/>
      <c r="F45" s="14" t="s">
        <v>152</v>
      </c>
      <c r="G45" s="5"/>
      <c r="H45" s="15"/>
      <c r="I45" s="14" t="s">
        <v>150</v>
      </c>
      <c r="J45" s="5"/>
      <c r="K45" s="15"/>
      <c r="L45" s="14" t="s">
        <v>151</v>
      </c>
      <c r="M45" s="5"/>
      <c r="N45" s="15"/>
      <c r="O45" s="36">
        <v>20</v>
      </c>
      <c r="P45" s="34">
        <v>40</v>
      </c>
      <c r="Q45" s="35"/>
      <c r="AI45" s="4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6"/>
    </row>
    <row r="46" spans="1:46" x14ac:dyDescent="0.25">
      <c r="A46" s="383">
        <v>30</v>
      </c>
      <c r="B46" s="383"/>
      <c r="C46" s="14"/>
      <c r="D46" s="5"/>
      <c r="E46" s="15"/>
      <c r="F46" s="14"/>
      <c r="G46" s="5"/>
      <c r="H46" s="15"/>
      <c r="I46" s="14"/>
      <c r="J46" s="5"/>
      <c r="K46" s="15"/>
      <c r="L46" s="14"/>
      <c r="M46" s="5"/>
      <c r="N46" s="15"/>
      <c r="Q46" s="5"/>
      <c r="AI46" s="4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6"/>
    </row>
    <row r="47" spans="1:46" x14ac:dyDescent="0.25">
      <c r="A47" s="383">
        <v>20</v>
      </c>
      <c r="B47" s="383"/>
      <c r="C47" s="14"/>
      <c r="D47" s="5"/>
      <c r="E47" s="15"/>
      <c r="F47" s="14"/>
      <c r="G47" s="5"/>
      <c r="H47" s="15"/>
      <c r="I47" s="14"/>
      <c r="J47" s="5"/>
      <c r="K47" s="15"/>
      <c r="L47" s="14"/>
      <c r="M47" s="5"/>
      <c r="N47" s="15"/>
      <c r="Q47" s="5"/>
      <c r="AI47" s="4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6"/>
    </row>
    <row r="48" spans="1:46" x14ac:dyDescent="0.25">
      <c r="A48" s="383">
        <v>10</v>
      </c>
      <c r="B48" s="383"/>
      <c r="C48" s="19"/>
      <c r="D48" s="20"/>
      <c r="E48" s="21"/>
      <c r="F48" s="19"/>
      <c r="G48" s="20"/>
      <c r="H48" s="21"/>
      <c r="I48" s="19"/>
      <c r="J48" s="20"/>
      <c r="K48" s="21"/>
      <c r="L48" s="19"/>
      <c r="M48" s="20"/>
      <c r="N48" s="21"/>
      <c r="Q48" s="5"/>
      <c r="AI48" s="4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6"/>
    </row>
    <row r="49" spans="2:46" x14ac:dyDescent="0.25">
      <c r="Q49" s="5"/>
      <c r="AI49" s="4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6"/>
    </row>
    <row r="50" spans="2:46" x14ac:dyDescent="0.25">
      <c r="AI50" s="4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6"/>
    </row>
    <row r="51" spans="2:46" ht="39" x14ac:dyDescent="0.25">
      <c r="B51" s="37" t="s">
        <v>171</v>
      </c>
      <c r="C51" s="37" t="s">
        <v>172</v>
      </c>
      <c r="D51" s="37" t="s">
        <v>173</v>
      </c>
      <c r="E51" s="37" t="s">
        <v>174</v>
      </c>
      <c r="F51" s="37" t="s">
        <v>175</v>
      </c>
      <c r="G51" s="37" t="s">
        <v>176</v>
      </c>
      <c r="H51" s="37" t="s">
        <v>177</v>
      </c>
      <c r="I51" s="37" t="s">
        <v>178</v>
      </c>
      <c r="J51" s="37" t="s">
        <v>179</v>
      </c>
      <c r="K51" s="381" t="s">
        <v>180</v>
      </c>
      <c r="L51" s="382"/>
      <c r="AI51" s="4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6"/>
    </row>
    <row r="52" spans="2:46" ht="26.25" x14ac:dyDescent="0.25">
      <c r="B52" s="38" t="s">
        <v>181</v>
      </c>
      <c r="C52" s="39" t="s">
        <v>182</v>
      </c>
      <c r="D52" s="38" t="s">
        <v>183</v>
      </c>
      <c r="E52" s="38" t="s">
        <v>184</v>
      </c>
      <c r="F52" s="38" t="s">
        <v>185</v>
      </c>
      <c r="G52" s="38" t="s">
        <v>186</v>
      </c>
      <c r="H52" s="38" t="s">
        <v>187</v>
      </c>
      <c r="I52" s="38" t="s">
        <v>188</v>
      </c>
      <c r="J52" s="38" t="s">
        <v>189</v>
      </c>
      <c r="K52" s="38" t="s">
        <v>190</v>
      </c>
      <c r="L52" s="38" t="s">
        <v>191</v>
      </c>
      <c r="AI52" s="4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6"/>
    </row>
    <row r="53" spans="2:46" ht="24" x14ac:dyDescent="0.25">
      <c r="B53" s="40" t="s">
        <v>192</v>
      </c>
      <c r="C53" s="40" t="s">
        <v>193</v>
      </c>
      <c r="D53" s="40" t="s">
        <v>194</v>
      </c>
      <c r="E53" s="40" t="s">
        <v>195</v>
      </c>
      <c r="F53" s="40" t="s">
        <v>196</v>
      </c>
      <c r="G53" s="40" t="s">
        <v>197</v>
      </c>
      <c r="H53" s="40" t="s">
        <v>198</v>
      </c>
      <c r="I53" s="40" t="s">
        <v>199</v>
      </c>
      <c r="J53" s="40" t="s">
        <v>200</v>
      </c>
      <c r="K53" s="40" t="s">
        <v>201</v>
      </c>
      <c r="L53" s="40" t="s">
        <v>202</v>
      </c>
      <c r="AI53" s="4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6"/>
    </row>
    <row r="54" spans="2:46" ht="24" x14ac:dyDescent="0.25">
      <c r="B54" s="40" t="s">
        <v>203</v>
      </c>
      <c r="C54" s="41" t="s">
        <v>204</v>
      </c>
      <c r="D54" s="40" t="s">
        <v>205</v>
      </c>
      <c r="E54" s="40" t="s">
        <v>206</v>
      </c>
      <c r="F54" s="40" t="s">
        <v>207</v>
      </c>
      <c r="G54" s="40" t="s">
        <v>208</v>
      </c>
      <c r="H54" s="40" t="s">
        <v>209</v>
      </c>
      <c r="I54" s="40" t="s">
        <v>210</v>
      </c>
      <c r="J54" s="40" t="s">
        <v>211</v>
      </c>
      <c r="K54" s="40" t="s">
        <v>212</v>
      </c>
      <c r="L54" s="40" t="s">
        <v>213</v>
      </c>
      <c r="AI54" s="4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6"/>
    </row>
    <row r="55" spans="2:46" ht="24" x14ac:dyDescent="0.25">
      <c r="B55" s="40" t="s">
        <v>214</v>
      </c>
      <c r="C55" s="41" t="s">
        <v>215</v>
      </c>
      <c r="D55" s="40" t="s">
        <v>216</v>
      </c>
      <c r="E55" s="40" t="s">
        <v>217</v>
      </c>
      <c r="F55" s="40" t="s">
        <v>218</v>
      </c>
      <c r="G55" s="40" t="s">
        <v>219</v>
      </c>
      <c r="H55" s="40" t="s">
        <v>220</v>
      </c>
      <c r="I55" s="40" t="s">
        <v>221</v>
      </c>
      <c r="J55" s="40" t="s">
        <v>222</v>
      </c>
      <c r="K55" s="40" t="s">
        <v>223</v>
      </c>
      <c r="L55" s="40" t="s">
        <v>224</v>
      </c>
      <c r="AI55" s="4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6"/>
    </row>
    <row r="56" spans="2:46" ht="24" x14ac:dyDescent="0.25">
      <c r="B56" s="40" t="s">
        <v>225</v>
      </c>
      <c r="C56" s="41" t="s">
        <v>226</v>
      </c>
      <c r="D56" s="40" t="s">
        <v>227</v>
      </c>
      <c r="E56" s="40" t="s">
        <v>228</v>
      </c>
      <c r="F56" s="40" t="s">
        <v>229</v>
      </c>
      <c r="G56" s="40" t="s">
        <v>230</v>
      </c>
      <c r="H56" s="40" t="s">
        <v>231</v>
      </c>
      <c r="I56" s="40" t="s">
        <v>232</v>
      </c>
      <c r="J56" s="40" t="s">
        <v>233</v>
      </c>
      <c r="K56" s="40" t="s">
        <v>234</v>
      </c>
      <c r="L56" s="40" t="s">
        <v>235</v>
      </c>
      <c r="AI56" s="4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6"/>
    </row>
    <row r="57" spans="2:46" ht="24" x14ac:dyDescent="0.25">
      <c r="B57" s="40" t="s">
        <v>236</v>
      </c>
      <c r="C57" s="41" t="s">
        <v>204</v>
      </c>
      <c r="D57" s="40" t="s">
        <v>237</v>
      </c>
      <c r="E57" s="40" t="s">
        <v>238</v>
      </c>
      <c r="F57" s="42" t="s">
        <v>239</v>
      </c>
      <c r="G57" s="40" t="s">
        <v>240</v>
      </c>
      <c r="H57" s="40" t="s">
        <v>241</v>
      </c>
      <c r="I57" s="40" t="s">
        <v>242</v>
      </c>
      <c r="J57" s="40" t="s">
        <v>243</v>
      </c>
      <c r="K57" s="40" t="s">
        <v>244</v>
      </c>
      <c r="L57" s="40" t="s">
        <v>245</v>
      </c>
      <c r="AI57" s="4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6"/>
    </row>
    <row r="58" spans="2:46" ht="24" x14ac:dyDescent="0.25">
      <c r="B58" s="40" t="s">
        <v>246</v>
      </c>
      <c r="C58" s="41" t="s">
        <v>215</v>
      </c>
      <c r="D58" s="40" t="s">
        <v>247</v>
      </c>
      <c r="E58" s="40" t="s">
        <v>248</v>
      </c>
      <c r="F58" s="42" t="s">
        <v>249</v>
      </c>
      <c r="G58" s="40" t="s">
        <v>250</v>
      </c>
      <c r="H58" s="40" t="s">
        <v>251</v>
      </c>
      <c r="I58" s="40" t="s">
        <v>252</v>
      </c>
      <c r="J58" s="40" t="s">
        <v>253</v>
      </c>
      <c r="K58" s="40" t="s">
        <v>254</v>
      </c>
      <c r="L58" s="40" t="s">
        <v>255</v>
      </c>
      <c r="AI58" s="4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6"/>
    </row>
    <row r="59" spans="2:46" ht="24" x14ac:dyDescent="0.25">
      <c r="B59" s="40" t="s">
        <v>256</v>
      </c>
      <c r="C59" s="41" t="s">
        <v>257</v>
      </c>
      <c r="D59" s="40" t="s">
        <v>258</v>
      </c>
      <c r="E59" s="40" t="s">
        <v>259</v>
      </c>
      <c r="F59" s="42" t="s">
        <v>260</v>
      </c>
      <c r="G59" s="40" t="s">
        <v>261</v>
      </c>
      <c r="H59" s="40" t="s">
        <v>262</v>
      </c>
      <c r="I59" s="40" t="s">
        <v>263</v>
      </c>
      <c r="J59" s="40" t="s">
        <v>264</v>
      </c>
      <c r="K59" s="40" t="s">
        <v>265</v>
      </c>
      <c r="L59" s="40" t="s">
        <v>266</v>
      </c>
      <c r="AI59" s="4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6"/>
    </row>
    <row r="60" spans="2:46" ht="24" x14ac:dyDescent="0.25">
      <c r="B60" s="40" t="s">
        <v>267</v>
      </c>
      <c r="C60" s="41" t="s">
        <v>215</v>
      </c>
      <c r="D60" s="40" t="s">
        <v>268</v>
      </c>
      <c r="E60" s="40" t="s">
        <v>269</v>
      </c>
      <c r="F60" s="42" t="s">
        <v>270</v>
      </c>
      <c r="G60" s="40" t="s">
        <v>271</v>
      </c>
      <c r="H60" s="40" t="s">
        <v>272</v>
      </c>
      <c r="I60" s="40" t="s">
        <v>273</v>
      </c>
      <c r="J60" s="40" t="s">
        <v>274</v>
      </c>
      <c r="K60" s="40" t="s">
        <v>275</v>
      </c>
      <c r="L60" s="40" t="s">
        <v>276</v>
      </c>
      <c r="AI60" s="4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6"/>
    </row>
    <row r="61" spans="2:46" ht="24" x14ac:dyDescent="0.25">
      <c r="B61" s="40" t="s">
        <v>267</v>
      </c>
      <c r="C61" s="40" t="s">
        <v>277</v>
      </c>
      <c r="D61" s="40" t="s">
        <v>278</v>
      </c>
      <c r="E61" s="40" t="s">
        <v>279</v>
      </c>
      <c r="F61" s="42" t="s">
        <v>270</v>
      </c>
      <c r="G61" s="40" t="s">
        <v>280</v>
      </c>
      <c r="H61" s="40" t="s">
        <v>281</v>
      </c>
      <c r="I61" s="40" t="s">
        <v>282</v>
      </c>
      <c r="J61" s="40" t="s">
        <v>283</v>
      </c>
      <c r="K61" s="40" t="s">
        <v>284</v>
      </c>
      <c r="L61" s="40" t="s">
        <v>285</v>
      </c>
      <c r="AI61" s="4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6"/>
    </row>
    <row r="62" spans="2:46" ht="24" x14ac:dyDescent="0.25">
      <c r="B62" s="40" t="s">
        <v>286</v>
      </c>
      <c r="C62" s="41" t="s">
        <v>226</v>
      </c>
      <c r="D62" s="40" t="s">
        <v>287</v>
      </c>
      <c r="E62" s="40" t="s">
        <v>288</v>
      </c>
      <c r="F62" s="42" t="s">
        <v>289</v>
      </c>
      <c r="G62" s="40" t="s">
        <v>290</v>
      </c>
      <c r="H62" s="40" t="s">
        <v>291</v>
      </c>
      <c r="I62" s="40" t="s">
        <v>292</v>
      </c>
      <c r="J62" s="40" t="s">
        <v>293</v>
      </c>
      <c r="K62" s="40" t="s">
        <v>294</v>
      </c>
      <c r="L62" s="40" t="s">
        <v>295</v>
      </c>
      <c r="AI62" s="4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6"/>
    </row>
    <row r="63" spans="2:46" ht="24" x14ac:dyDescent="0.25">
      <c r="B63" s="40" t="s">
        <v>286</v>
      </c>
      <c r="C63" s="41" t="s">
        <v>296</v>
      </c>
      <c r="D63" s="40" t="s">
        <v>297</v>
      </c>
      <c r="E63" s="40" t="s">
        <v>298</v>
      </c>
      <c r="F63" s="42" t="s">
        <v>289</v>
      </c>
      <c r="G63" s="40" t="s">
        <v>299</v>
      </c>
      <c r="H63" s="40" t="s">
        <v>300</v>
      </c>
      <c r="I63" s="40" t="s">
        <v>301</v>
      </c>
      <c r="J63" s="40" t="s">
        <v>302</v>
      </c>
      <c r="K63" s="40" t="s">
        <v>303</v>
      </c>
      <c r="L63" s="40" t="s">
        <v>304</v>
      </c>
      <c r="AI63" s="4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6"/>
    </row>
    <row r="64" spans="2:46" ht="24" x14ac:dyDescent="0.25">
      <c r="B64" s="40" t="s">
        <v>305</v>
      </c>
      <c r="C64" s="41" t="s">
        <v>306</v>
      </c>
      <c r="D64" s="40" t="s">
        <v>307</v>
      </c>
      <c r="E64" s="40" t="s">
        <v>308</v>
      </c>
      <c r="F64" s="42" t="s">
        <v>309</v>
      </c>
      <c r="G64" s="40" t="s">
        <v>310</v>
      </c>
      <c r="H64" s="40" t="s">
        <v>311</v>
      </c>
      <c r="I64" s="40" t="s">
        <v>312</v>
      </c>
      <c r="J64" s="40" t="s">
        <v>313</v>
      </c>
      <c r="K64" s="40" t="s">
        <v>314</v>
      </c>
      <c r="L64" s="40" t="s">
        <v>315</v>
      </c>
      <c r="AI64" s="4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6"/>
    </row>
    <row r="65" spans="2:46" ht="24" x14ac:dyDescent="0.25">
      <c r="B65" s="40" t="s">
        <v>316</v>
      </c>
      <c r="C65" s="41" t="s">
        <v>215</v>
      </c>
      <c r="D65" s="40" t="s">
        <v>317</v>
      </c>
      <c r="E65" s="40" t="s">
        <v>318</v>
      </c>
      <c r="F65" s="42" t="s">
        <v>319</v>
      </c>
      <c r="G65" s="40" t="s">
        <v>320</v>
      </c>
      <c r="H65" s="40" t="s">
        <v>321</v>
      </c>
      <c r="I65" s="40" t="s">
        <v>322</v>
      </c>
      <c r="J65" s="40" t="s">
        <v>323</v>
      </c>
      <c r="K65" s="40" t="s">
        <v>324</v>
      </c>
      <c r="L65" s="40" t="s">
        <v>325</v>
      </c>
      <c r="AI65" s="4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6"/>
    </row>
    <row r="66" spans="2:46" ht="24" x14ac:dyDescent="0.25">
      <c r="B66" s="40" t="s">
        <v>316</v>
      </c>
      <c r="C66" s="41" t="s">
        <v>326</v>
      </c>
      <c r="D66" s="40" t="s">
        <v>327</v>
      </c>
      <c r="E66" s="40" t="s">
        <v>328</v>
      </c>
      <c r="F66" s="42" t="s">
        <v>319</v>
      </c>
      <c r="G66" s="40" t="s">
        <v>329</v>
      </c>
      <c r="H66" s="40" t="s">
        <v>330</v>
      </c>
      <c r="I66" s="40" t="s">
        <v>331</v>
      </c>
      <c r="J66" s="40" t="s">
        <v>332</v>
      </c>
      <c r="K66" s="40" t="s">
        <v>333</v>
      </c>
      <c r="L66" s="40" t="s">
        <v>334</v>
      </c>
      <c r="AI66" s="4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6"/>
    </row>
    <row r="67" spans="2:46" ht="24" x14ac:dyDescent="0.25">
      <c r="B67" s="40" t="s">
        <v>335</v>
      </c>
      <c r="C67" s="41" t="s">
        <v>226</v>
      </c>
      <c r="D67" s="40" t="s">
        <v>336</v>
      </c>
      <c r="E67" s="40" t="s">
        <v>337</v>
      </c>
      <c r="F67" s="42" t="s">
        <v>338</v>
      </c>
      <c r="G67" s="40" t="s">
        <v>339</v>
      </c>
      <c r="H67" s="40" t="s">
        <v>340</v>
      </c>
      <c r="I67" s="40" t="s">
        <v>341</v>
      </c>
      <c r="J67" s="40" t="s">
        <v>342</v>
      </c>
      <c r="K67" s="40" t="s">
        <v>343</v>
      </c>
      <c r="L67" s="40" t="s">
        <v>344</v>
      </c>
      <c r="AI67" s="4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6"/>
    </row>
    <row r="68" spans="2:46" ht="24" x14ac:dyDescent="0.25">
      <c r="B68" s="40" t="s">
        <v>335</v>
      </c>
      <c r="C68" s="41" t="s">
        <v>296</v>
      </c>
      <c r="D68" s="40" t="s">
        <v>345</v>
      </c>
      <c r="E68" s="40" t="s">
        <v>346</v>
      </c>
      <c r="F68" s="42" t="s">
        <v>338</v>
      </c>
      <c r="G68" s="40" t="s">
        <v>347</v>
      </c>
      <c r="H68" s="40" t="s">
        <v>348</v>
      </c>
      <c r="I68" s="40" t="s">
        <v>349</v>
      </c>
      <c r="J68" s="40" t="s">
        <v>350</v>
      </c>
      <c r="K68" s="40" t="s">
        <v>351</v>
      </c>
      <c r="L68" s="40" t="s">
        <v>352</v>
      </c>
      <c r="AI68" s="4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6"/>
    </row>
    <row r="69" spans="2:46" ht="24" x14ac:dyDescent="0.25">
      <c r="B69" s="40" t="s">
        <v>335</v>
      </c>
      <c r="C69" s="41" t="s">
        <v>353</v>
      </c>
      <c r="D69" s="42" t="s">
        <v>354</v>
      </c>
      <c r="E69" s="40" t="s">
        <v>355</v>
      </c>
      <c r="F69" s="42" t="s">
        <v>338</v>
      </c>
      <c r="G69" s="40" t="s">
        <v>356</v>
      </c>
      <c r="H69" s="40" t="s">
        <v>357</v>
      </c>
      <c r="I69" s="40" t="s">
        <v>358</v>
      </c>
      <c r="J69" s="40" t="s">
        <v>359</v>
      </c>
      <c r="K69" s="40" t="s">
        <v>360</v>
      </c>
      <c r="L69" s="40" t="s">
        <v>361</v>
      </c>
      <c r="AI69" s="4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6"/>
    </row>
    <row r="70" spans="2:46" ht="24" x14ac:dyDescent="0.25">
      <c r="B70" s="40" t="s">
        <v>362</v>
      </c>
      <c r="C70" s="40" t="s">
        <v>363</v>
      </c>
      <c r="D70" s="40" t="s">
        <v>364</v>
      </c>
      <c r="E70" s="40" t="s">
        <v>365</v>
      </c>
      <c r="F70" s="42" t="s">
        <v>366</v>
      </c>
      <c r="G70" s="40" t="s">
        <v>367</v>
      </c>
      <c r="H70" s="40" t="s">
        <v>368</v>
      </c>
      <c r="I70" s="40" t="s">
        <v>369</v>
      </c>
      <c r="J70" s="40" t="s">
        <v>370</v>
      </c>
      <c r="K70" s="40" t="s">
        <v>371</v>
      </c>
      <c r="L70" s="40" t="s">
        <v>372</v>
      </c>
      <c r="AI70" s="4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6"/>
    </row>
    <row r="71" spans="2:46" ht="24" x14ac:dyDescent="0.25">
      <c r="B71" s="42" t="s">
        <v>373</v>
      </c>
      <c r="C71" s="40" t="s">
        <v>374</v>
      </c>
      <c r="D71" s="40" t="s">
        <v>375</v>
      </c>
      <c r="E71" s="40" t="s">
        <v>376</v>
      </c>
      <c r="F71" s="42" t="s">
        <v>377</v>
      </c>
      <c r="G71" s="40" t="s">
        <v>378</v>
      </c>
      <c r="H71" s="40" t="s">
        <v>379</v>
      </c>
      <c r="I71" s="40" t="s">
        <v>380</v>
      </c>
      <c r="J71" s="40" t="s">
        <v>381</v>
      </c>
      <c r="K71" s="40" t="s">
        <v>382</v>
      </c>
      <c r="L71" s="40" t="s">
        <v>383</v>
      </c>
      <c r="AI71" s="4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6"/>
    </row>
    <row r="72" spans="2:46" ht="24" x14ac:dyDescent="0.25">
      <c r="B72" s="42" t="s">
        <v>373</v>
      </c>
      <c r="C72" s="41" t="s">
        <v>326</v>
      </c>
      <c r="D72" s="40" t="s">
        <v>384</v>
      </c>
      <c r="E72" s="40" t="s">
        <v>385</v>
      </c>
      <c r="F72" s="42" t="s">
        <v>377</v>
      </c>
      <c r="G72" s="40" t="s">
        <v>386</v>
      </c>
      <c r="H72" s="40" t="s">
        <v>387</v>
      </c>
      <c r="I72" s="40" t="s">
        <v>388</v>
      </c>
      <c r="J72" s="40" t="s">
        <v>389</v>
      </c>
      <c r="K72" s="40" t="s">
        <v>390</v>
      </c>
      <c r="L72" s="40" t="s">
        <v>391</v>
      </c>
      <c r="AI72" s="4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6"/>
    </row>
    <row r="73" spans="2:46" ht="24" x14ac:dyDescent="0.25">
      <c r="B73" s="42" t="s">
        <v>373</v>
      </c>
      <c r="C73" s="41" t="s">
        <v>392</v>
      </c>
      <c r="D73" s="42" t="s">
        <v>393</v>
      </c>
      <c r="E73" s="40" t="s">
        <v>394</v>
      </c>
      <c r="F73" s="42" t="s">
        <v>377</v>
      </c>
      <c r="G73" s="40" t="s">
        <v>395</v>
      </c>
      <c r="H73" s="40" t="s">
        <v>396</v>
      </c>
      <c r="I73" s="40" t="s">
        <v>397</v>
      </c>
      <c r="J73" s="40" t="s">
        <v>398</v>
      </c>
      <c r="K73" s="40" t="s">
        <v>399</v>
      </c>
      <c r="L73" s="40" t="s">
        <v>400</v>
      </c>
      <c r="AI73" s="4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6"/>
    </row>
    <row r="74" spans="2:46" ht="24" x14ac:dyDescent="0.25">
      <c r="B74" s="42" t="s">
        <v>401</v>
      </c>
      <c r="C74" s="41" t="s">
        <v>215</v>
      </c>
      <c r="D74" s="40" t="s">
        <v>402</v>
      </c>
      <c r="E74" s="40" t="s">
        <v>403</v>
      </c>
      <c r="F74" s="42" t="s">
        <v>404</v>
      </c>
      <c r="G74" s="40" t="s">
        <v>405</v>
      </c>
      <c r="H74" s="40" t="s">
        <v>406</v>
      </c>
      <c r="I74" s="40" t="s">
        <v>407</v>
      </c>
      <c r="J74" s="40" t="s">
        <v>408</v>
      </c>
      <c r="K74" s="40" t="s">
        <v>409</v>
      </c>
      <c r="L74" s="40" t="s">
        <v>410</v>
      </c>
      <c r="AI74" s="4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6"/>
    </row>
    <row r="75" spans="2:46" ht="24" x14ac:dyDescent="0.25">
      <c r="B75" s="42" t="s">
        <v>401</v>
      </c>
      <c r="C75" s="41" t="s">
        <v>326</v>
      </c>
      <c r="D75" s="40" t="s">
        <v>411</v>
      </c>
      <c r="E75" s="40" t="s">
        <v>412</v>
      </c>
      <c r="F75" s="42" t="s">
        <v>404</v>
      </c>
      <c r="G75" s="40" t="s">
        <v>413</v>
      </c>
      <c r="H75" s="40" t="s">
        <v>414</v>
      </c>
      <c r="I75" s="40" t="s">
        <v>415</v>
      </c>
      <c r="J75" s="40" t="s">
        <v>416</v>
      </c>
      <c r="K75" s="40" t="s">
        <v>417</v>
      </c>
      <c r="L75" s="40" t="s">
        <v>418</v>
      </c>
      <c r="AI75" s="4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6"/>
    </row>
    <row r="76" spans="2:46" ht="24" x14ac:dyDescent="0.25">
      <c r="B76" s="42" t="s">
        <v>401</v>
      </c>
      <c r="C76" s="41" t="s">
        <v>392</v>
      </c>
      <c r="D76" s="40" t="s">
        <v>419</v>
      </c>
      <c r="E76" s="40" t="s">
        <v>420</v>
      </c>
      <c r="F76" s="42" t="s">
        <v>404</v>
      </c>
      <c r="G76" s="40" t="s">
        <v>421</v>
      </c>
      <c r="H76" s="40" t="s">
        <v>422</v>
      </c>
      <c r="I76" s="40" t="s">
        <v>423</v>
      </c>
      <c r="J76" s="40" t="s">
        <v>424</v>
      </c>
      <c r="K76" s="40" t="s">
        <v>425</v>
      </c>
      <c r="L76" s="40" t="s">
        <v>426</v>
      </c>
      <c r="AI76" s="4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6"/>
    </row>
    <row r="77" spans="2:46" ht="24" x14ac:dyDescent="0.25">
      <c r="B77" s="42" t="s">
        <v>427</v>
      </c>
      <c r="C77" s="40" t="s">
        <v>428</v>
      </c>
      <c r="D77" s="40" t="s">
        <v>429</v>
      </c>
      <c r="E77" s="40" t="s">
        <v>430</v>
      </c>
      <c r="F77" s="42" t="s">
        <v>431</v>
      </c>
      <c r="G77" s="40" t="s">
        <v>432</v>
      </c>
      <c r="H77" s="40" t="s">
        <v>433</v>
      </c>
      <c r="I77" s="40" t="s">
        <v>434</v>
      </c>
      <c r="J77" s="40" t="s">
        <v>435</v>
      </c>
      <c r="K77" s="40" t="s">
        <v>436</v>
      </c>
      <c r="L77" s="40" t="s">
        <v>437</v>
      </c>
      <c r="AI77" s="4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6"/>
    </row>
    <row r="78" spans="2:46" ht="24" x14ac:dyDescent="0.25">
      <c r="B78" s="42" t="s">
        <v>438</v>
      </c>
      <c r="C78" s="40" t="s">
        <v>439</v>
      </c>
      <c r="D78" s="40" t="s">
        <v>440</v>
      </c>
      <c r="E78" s="40" t="s">
        <v>441</v>
      </c>
      <c r="F78" s="42" t="s">
        <v>442</v>
      </c>
      <c r="G78" s="40" t="s">
        <v>443</v>
      </c>
      <c r="H78" s="40" t="s">
        <v>444</v>
      </c>
      <c r="I78" s="40" t="s">
        <v>445</v>
      </c>
      <c r="J78" s="40" t="s">
        <v>446</v>
      </c>
      <c r="K78" s="40" t="s">
        <v>447</v>
      </c>
      <c r="L78" s="40" t="s">
        <v>448</v>
      </c>
      <c r="AI78" s="4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6"/>
    </row>
    <row r="79" spans="2:46" ht="24" x14ac:dyDescent="0.25">
      <c r="B79" s="42" t="s">
        <v>438</v>
      </c>
      <c r="C79" s="41" t="s">
        <v>392</v>
      </c>
      <c r="D79" s="40" t="s">
        <v>449</v>
      </c>
      <c r="E79" s="40" t="s">
        <v>450</v>
      </c>
      <c r="F79" s="42" t="s">
        <v>442</v>
      </c>
      <c r="G79" s="40" t="s">
        <v>451</v>
      </c>
      <c r="H79" s="40" t="s">
        <v>452</v>
      </c>
      <c r="I79" s="40" t="s">
        <v>453</v>
      </c>
      <c r="J79" s="40" t="s">
        <v>454</v>
      </c>
      <c r="K79" s="41" t="s">
        <v>455</v>
      </c>
      <c r="L79" s="40" t="s">
        <v>456</v>
      </c>
      <c r="AI79" s="4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6"/>
    </row>
    <row r="80" spans="2:46" ht="24" x14ac:dyDescent="0.25">
      <c r="B80" s="42" t="s">
        <v>457</v>
      </c>
      <c r="C80" s="40" t="s">
        <v>428</v>
      </c>
      <c r="D80" s="40" t="s">
        <v>458</v>
      </c>
      <c r="E80" s="40" t="s">
        <v>459</v>
      </c>
      <c r="F80" s="42" t="s">
        <v>460</v>
      </c>
      <c r="G80" s="40" t="s">
        <v>461</v>
      </c>
      <c r="H80" s="40" t="s">
        <v>462</v>
      </c>
      <c r="I80" s="40" t="s">
        <v>463</v>
      </c>
      <c r="J80" s="40" t="s">
        <v>464</v>
      </c>
      <c r="K80" s="41" t="s">
        <v>465</v>
      </c>
      <c r="L80" s="40" t="s">
        <v>466</v>
      </c>
      <c r="AI80" s="4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6"/>
    </row>
    <row r="81" spans="2:46" ht="24" x14ac:dyDescent="0.25">
      <c r="B81" s="42" t="s">
        <v>467</v>
      </c>
      <c r="C81" s="40" t="s">
        <v>468</v>
      </c>
      <c r="D81" s="40" t="s">
        <v>469</v>
      </c>
      <c r="E81" s="40" t="s">
        <v>470</v>
      </c>
      <c r="F81" s="42" t="s">
        <v>471</v>
      </c>
      <c r="G81" s="40" t="s">
        <v>472</v>
      </c>
      <c r="H81" s="40" t="s">
        <v>473</v>
      </c>
      <c r="I81" s="40" t="s">
        <v>474</v>
      </c>
      <c r="J81" s="40" t="s">
        <v>475</v>
      </c>
      <c r="K81" s="41" t="s">
        <v>476</v>
      </c>
      <c r="L81" s="40" t="s">
        <v>477</v>
      </c>
      <c r="AI81" s="4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6"/>
    </row>
    <row r="82" spans="2:46" ht="24" x14ac:dyDescent="0.25">
      <c r="B82" s="42" t="s">
        <v>467</v>
      </c>
      <c r="C82" s="41" t="s">
        <v>392</v>
      </c>
      <c r="D82" s="40" t="s">
        <v>478</v>
      </c>
      <c r="E82" s="40" t="s">
        <v>479</v>
      </c>
      <c r="F82" s="42" t="s">
        <v>471</v>
      </c>
      <c r="G82" s="41" t="s">
        <v>480</v>
      </c>
      <c r="H82" s="40" t="s">
        <v>481</v>
      </c>
      <c r="I82" s="40" t="s">
        <v>482</v>
      </c>
      <c r="J82" s="40" t="s">
        <v>483</v>
      </c>
      <c r="K82" s="41" t="s">
        <v>484</v>
      </c>
      <c r="L82" s="40" t="s">
        <v>485</v>
      </c>
      <c r="AI82" s="4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6"/>
    </row>
    <row r="83" spans="2:46" ht="24" x14ac:dyDescent="0.25">
      <c r="B83" s="42" t="s">
        <v>486</v>
      </c>
      <c r="C83" s="40" t="s">
        <v>487</v>
      </c>
      <c r="D83" s="40" t="s">
        <v>488</v>
      </c>
      <c r="E83" s="40" t="s">
        <v>489</v>
      </c>
      <c r="F83" s="42" t="s">
        <v>490</v>
      </c>
      <c r="G83" s="40" t="s">
        <v>491</v>
      </c>
      <c r="H83" s="40" t="s">
        <v>492</v>
      </c>
      <c r="I83" s="40" t="s">
        <v>493</v>
      </c>
      <c r="J83" s="40" t="s">
        <v>494</v>
      </c>
      <c r="K83" s="41" t="s">
        <v>495</v>
      </c>
      <c r="L83" s="40" t="s">
        <v>496</v>
      </c>
      <c r="AI83" s="4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6"/>
    </row>
    <row r="84" spans="2:46" ht="24" x14ac:dyDescent="0.25">
      <c r="B84" s="42" t="s">
        <v>497</v>
      </c>
      <c r="C84" s="40" t="s">
        <v>498</v>
      </c>
      <c r="D84" s="40" t="s">
        <v>499</v>
      </c>
      <c r="E84" s="40" t="s">
        <v>500</v>
      </c>
      <c r="F84" s="42" t="s">
        <v>501</v>
      </c>
      <c r="G84" s="41" t="s">
        <v>502</v>
      </c>
      <c r="H84" s="40" t="s">
        <v>503</v>
      </c>
      <c r="I84" s="40" t="s">
        <v>504</v>
      </c>
      <c r="J84" s="40" t="s">
        <v>505</v>
      </c>
      <c r="K84" s="41" t="s">
        <v>506</v>
      </c>
      <c r="L84" s="40" t="s">
        <v>507</v>
      </c>
      <c r="AI84" s="4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6"/>
    </row>
    <row r="85" spans="2:46" ht="24" x14ac:dyDescent="0.25">
      <c r="B85" s="42" t="s">
        <v>497</v>
      </c>
      <c r="C85" s="40" t="s">
        <v>508</v>
      </c>
      <c r="D85" s="40" t="s">
        <v>509</v>
      </c>
      <c r="E85" s="40" t="s">
        <v>510</v>
      </c>
      <c r="F85" s="42" t="s">
        <v>501</v>
      </c>
      <c r="G85" s="41" t="s">
        <v>511</v>
      </c>
      <c r="H85" s="40" t="s">
        <v>512</v>
      </c>
      <c r="I85" s="40" t="s">
        <v>513</v>
      </c>
      <c r="J85" s="40" t="s">
        <v>514</v>
      </c>
      <c r="K85" s="41" t="s">
        <v>515</v>
      </c>
      <c r="L85" s="40" t="s">
        <v>516</v>
      </c>
      <c r="AI85" s="4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6"/>
    </row>
    <row r="86" spans="2:46" ht="24.75" thickBot="1" x14ac:dyDescent="0.3">
      <c r="B86" s="42" t="s">
        <v>517</v>
      </c>
      <c r="C86" s="41" t="s">
        <v>326</v>
      </c>
      <c r="D86" s="40" t="s">
        <v>518</v>
      </c>
      <c r="E86" s="40" t="s">
        <v>519</v>
      </c>
      <c r="F86" s="42" t="s">
        <v>520</v>
      </c>
      <c r="G86" s="41" t="s">
        <v>521</v>
      </c>
      <c r="H86" s="40" t="s">
        <v>522</v>
      </c>
      <c r="I86" s="40" t="s">
        <v>523</v>
      </c>
      <c r="J86" s="40" t="s">
        <v>524</v>
      </c>
      <c r="K86" s="41" t="s">
        <v>525</v>
      </c>
      <c r="L86" s="40" t="s">
        <v>526</v>
      </c>
      <c r="AI86" s="7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31"/>
    </row>
    <row r="87" spans="2:46" ht="24" x14ac:dyDescent="0.25">
      <c r="B87" s="42" t="s">
        <v>517</v>
      </c>
      <c r="C87" s="41" t="s">
        <v>392</v>
      </c>
      <c r="D87" s="40" t="s">
        <v>527</v>
      </c>
      <c r="E87" s="40" t="s">
        <v>528</v>
      </c>
      <c r="F87" s="42" t="s">
        <v>520</v>
      </c>
      <c r="G87" s="41" t="s">
        <v>529</v>
      </c>
      <c r="H87" s="40" t="s">
        <v>530</v>
      </c>
      <c r="I87" s="40" t="s">
        <v>531</v>
      </c>
      <c r="J87" s="40" t="s">
        <v>532</v>
      </c>
      <c r="K87" s="41" t="s">
        <v>533</v>
      </c>
      <c r="L87" s="40" t="s">
        <v>534</v>
      </c>
    </row>
    <row r="88" spans="2:46" ht="24" x14ac:dyDescent="0.25">
      <c r="B88" s="42" t="s">
        <v>517</v>
      </c>
      <c r="C88" s="42" t="s">
        <v>535</v>
      </c>
      <c r="D88" s="40" t="s">
        <v>536</v>
      </c>
      <c r="E88" s="40" t="s">
        <v>537</v>
      </c>
      <c r="F88" s="42" t="s">
        <v>520</v>
      </c>
      <c r="G88" s="41" t="s">
        <v>538</v>
      </c>
      <c r="H88" s="40" t="s">
        <v>539</v>
      </c>
      <c r="I88" s="40" t="s">
        <v>540</v>
      </c>
      <c r="J88" s="40" t="s">
        <v>541</v>
      </c>
      <c r="K88" s="41" t="s">
        <v>542</v>
      </c>
      <c r="L88" s="40" t="s">
        <v>543</v>
      </c>
    </row>
    <row r="89" spans="2:46" ht="24" x14ac:dyDescent="0.25">
      <c r="B89" s="42" t="s">
        <v>544</v>
      </c>
      <c r="C89" s="40" t="s">
        <v>498</v>
      </c>
      <c r="D89" s="40" t="s">
        <v>545</v>
      </c>
      <c r="E89" s="40" t="s">
        <v>546</v>
      </c>
      <c r="F89" s="42" t="s">
        <v>547</v>
      </c>
      <c r="G89" s="41" t="s">
        <v>548</v>
      </c>
      <c r="H89" s="40" t="s">
        <v>549</v>
      </c>
      <c r="I89" s="40" t="s">
        <v>550</v>
      </c>
      <c r="J89" s="40" t="s">
        <v>551</v>
      </c>
      <c r="K89" s="41" t="s">
        <v>552</v>
      </c>
      <c r="L89" s="40" t="s">
        <v>553</v>
      </c>
    </row>
    <row r="90" spans="2:46" ht="24" x14ac:dyDescent="0.25">
      <c r="B90" s="42" t="s">
        <v>544</v>
      </c>
      <c r="C90" s="40" t="s">
        <v>508</v>
      </c>
      <c r="D90" s="40" t="s">
        <v>554</v>
      </c>
      <c r="E90" s="40" t="s">
        <v>555</v>
      </c>
      <c r="F90" s="42" t="s">
        <v>547</v>
      </c>
      <c r="G90" s="41" t="s">
        <v>556</v>
      </c>
      <c r="H90" s="40" t="s">
        <v>557</v>
      </c>
      <c r="I90" s="40" t="s">
        <v>558</v>
      </c>
      <c r="J90" s="40" t="s">
        <v>559</v>
      </c>
      <c r="K90" s="41" t="s">
        <v>560</v>
      </c>
      <c r="L90" s="40" t="s">
        <v>561</v>
      </c>
    </row>
    <row r="91" spans="2:46" ht="24" x14ac:dyDescent="0.25">
      <c r="B91" s="42" t="s">
        <v>562</v>
      </c>
      <c r="C91" s="42" t="s">
        <v>563</v>
      </c>
      <c r="D91" s="40" t="s">
        <v>564</v>
      </c>
      <c r="E91" s="40" t="s">
        <v>565</v>
      </c>
      <c r="F91" s="42" t="s">
        <v>566</v>
      </c>
      <c r="G91" s="41" t="s">
        <v>567</v>
      </c>
      <c r="H91" s="40" t="s">
        <v>568</v>
      </c>
      <c r="I91" s="40" t="s">
        <v>569</v>
      </c>
      <c r="J91" s="40" t="s">
        <v>570</v>
      </c>
      <c r="K91" s="42" t="s">
        <v>571</v>
      </c>
      <c r="L91" s="40" t="s">
        <v>572</v>
      </c>
    </row>
    <row r="92" spans="2:46" ht="24" x14ac:dyDescent="0.25">
      <c r="B92" s="42" t="s">
        <v>573</v>
      </c>
      <c r="C92" s="41" t="s">
        <v>392</v>
      </c>
      <c r="D92" s="40" t="s">
        <v>574</v>
      </c>
      <c r="E92" s="40" t="s">
        <v>575</v>
      </c>
      <c r="F92" s="42" t="s">
        <v>576</v>
      </c>
      <c r="G92" s="41" t="s">
        <v>577</v>
      </c>
      <c r="H92" s="40" t="s">
        <v>578</v>
      </c>
      <c r="I92" s="40" t="s">
        <v>579</v>
      </c>
      <c r="J92" s="40" t="s">
        <v>580</v>
      </c>
      <c r="K92" s="41" t="s">
        <v>581</v>
      </c>
      <c r="L92" s="40" t="s">
        <v>582</v>
      </c>
    </row>
    <row r="93" spans="2:46" ht="24" x14ac:dyDescent="0.25">
      <c r="B93" s="42" t="s">
        <v>573</v>
      </c>
      <c r="C93" s="42" t="s">
        <v>535</v>
      </c>
      <c r="D93" s="40" t="s">
        <v>583</v>
      </c>
      <c r="E93" s="40" t="s">
        <v>584</v>
      </c>
      <c r="F93" s="42" t="s">
        <v>576</v>
      </c>
      <c r="G93" s="41" t="s">
        <v>585</v>
      </c>
      <c r="H93" s="40" t="s">
        <v>586</v>
      </c>
      <c r="I93" s="40" t="s">
        <v>587</v>
      </c>
      <c r="J93" s="40" t="s">
        <v>588</v>
      </c>
      <c r="K93" s="42" t="s">
        <v>589</v>
      </c>
      <c r="L93" s="40" t="s">
        <v>590</v>
      </c>
    </row>
    <row r="94" spans="2:46" ht="24" x14ac:dyDescent="0.25">
      <c r="B94" s="42" t="s">
        <v>591</v>
      </c>
      <c r="C94" s="42" t="s">
        <v>592</v>
      </c>
      <c r="D94" s="40" t="s">
        <v>593</v>
      </c>
      <c r="E94" s="40" t="s">
        <v>594</v>
      </c>
      <c r="F94" s="42" t="s">
        <v>595</v>
      </c>
      <c r="G94" s="41" t="s">
        <v>596</v>
      </c>
      <c r="H94" s="40" t="s">
        <v>597</v>
      </c>
      <c r="I94" s="40" t="s">
        <v>598</v>
      </c>
      <c r="J94" s="40" t="s">
        <v>599</v>
      </c>
      <c r="K94" s="42" t="s">
        <v>600</v>
      </c>
      <c r="L94" s="40" t="s">
        <v>601</v>
      </c>
    </row>
    <row r="95" spans="2:46" ht="24" x14ac:dyDescent="0.25">
      <c r="B95" s="42" t="s">
        <v>602</v>
      </c>
      <c r="C95" s="41" t="s">
        <v>392</v>
      </c>
      <c r="D95" s="40" t="s">
        <v>603</v>
      </c>
      <c r="E95" s="40" t="s">
        <v>604</v>
      </c>
      <c r="F95" s="42" t="s">
        <v>605</v>
      </c>
      <c r="G95" s="41" t="s">
        <v>606</v>
      </c>
      <c r="H95" s="40" t="s">
        <v>607</v>
      </c>
      <c r="I95" s="40" t="s">
        <v>608</v>
      </c>
      <c r="J95" s="40" t="s">
        <v>609</v>
      </c>
      <c r="K95" s="42" t="s">
        <v>610</v>
      </c>
      <c r="L95" s="40" t="s">
        <v>611</v>
      </c>
    </row>
    <row r="96" spans="2:46" ht="36" x14ac:dyDescent="0.25">
      <c r="B96" s="42" t="s">
        <v>612</v>
      </c>
      <c r="C96" s="42" t="s">
        <v>613</v>
      </c>
      <c r="D96" s="40" t="s">
        <v>614</v>
      </c>
      <c r="E96" s="40" t="s">
        <v>615</v>
      </c>
      <c r="F96" s="42" t="s">
        <v>616</v>
      </c>
      <c r="G96" s="42" t="s">
        <v>617</v>
      </c>
      <c r="H96" s="40" t="s">
        <v>618</v>
      </c>
      <c r="I96" s="40" t="s">
        <v>619</v>
      </c>
      <c r="J96" s="40" t="s">
        <v>620</v>
      </c>
      <c r="K96" s="42" t="s">
        <v>621</v>
      </c>
      <c r="L96" s="41" t="s">
        <v>622</v>
      </c>
    </row>
  </sheetData>
  <mergeCells count="56">
    <mergeCell ref="I2:K2"/>
    <mergeCell ref="I3:K3"/>
    <mergeCell ref="A2:B3"/>
    <mergeCell ref="C2:E2"/>
    <mergeCell ref="C3:E3"/>
    <mergeCell ref="F2:H2"/>
    <mergeCell ref="F3:H3"/>
    <mergeCell ref="A15:B15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7:B17"/>
    <mergeCell ref="A18:B18"/>
    <mergeCell ref="A19:B19"/>
    <mergeCell ref="A20:B20"/>
    <mergeCell ref="A21:B21"/>
    <mergeCell ref="A1:N1"/>
    <mergeCell ref="A40:B40"/>
    <mergeCell ref="A41:B41"/>
    <mergeCell ref="A42:B42"/>
    <mergeCell ref="A43:B43"/>
    <mergeCell ref="A34:B34"/>
    <mergeCell ref="A35:B35"/>
    <mergeCell ref="A36:B36"/>
    <mergeCell ref="A37:B37"/>
    <mergeCell ref="A38:B38"/>
    <mergeCell ref="A39:B39"/>
    <mergeCell ref="A28:B28"/>
    <mergeCell ref="A29:B29"/>
    <mergeCell ref="A30:B30"/>
    <mergeCell ref="A31:B31"/>
    <mergeCell ref="A32:B32"/>
    <mergeCell ref="K51:L51"/>
    <mergeCell ref="A46:B46"/>
    <mergeCell ref="A47:B47"/>
    <mergeCell ref="A48:B48"/>
    <mergeCell ref="L2:N2"/>
    <mergeCell ref="L3:N3"/>
    <mergeCell ref="A44:B44"/>
    <mergeCell ref="A45:B45"/>
    <mergeCell ref="A33:B33"/>
    <mergeCell ref="A22:B22"/>
    <mergeCell ref="A23:B23"/>
    <mergeCell ref="A24:B24"/>
    <mergeCell ref="A25:B25"/>
    <mergeCell ref="A26:B26"/>
    <mergeCell ref="A27:B27"/>
    <mergeCell ref="A16:B1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2A305-30AE-4814-9B4C-EDEA949FD887}">
  <dimension ref="A1"/>
  <sheetViews>
    <sheetView workbookViewId="0">
      <selection activeCell="G30" sqref="G3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Sayfa1</vt:lpstr>
      <vt:lpstr>Teleskobik Dikmeler</vt:lpstr>
      <vt:lpstr>Sayfa3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MarangozUsta</dc:creator>
  <cp:lastModifiedBy>user</cp:lastModifiedBy>
  <dcterms:created xsi:type="dcterms:W3CDTF">2022-01-24T17:40:54Z</dcterms:created>
  <dcterms:modified xsi:type="dcterms:W3CDTF">2022-02-01T17:34:56Z</dcterms:modified>
</cp:coreProperties>
</file>